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250" activeTab="0"/>
  </bookViews>
  <sheets>
    <sheet name="WRPF любители пауэрлифтинг ДК" sheetId="1" r:id="rId1"/>
    <sheet name="WRPF любители жим ДК" sheetId="2" r:id="rId2"/>
    <sheet name="WRPF любители тяга ДК" sheetId="3" r:id="rId3"/>
    <sheet name="WRPF пауэрлифтинг любители" sheetId="4" r:id="rId4"/>
    <sheet name="WRPF любители жим" sheetId="5" r:id="rId5"/>
    <sheet name="WRPF любители жим СФО" sheetId="6" r:id="rId6"/>
    <sheet name="WRPF любители тяга" sheetId="7" r:id="rId7"/>
    <sheet name="WRPF-PRO ПЛ" sheetId="8" r:id="rId8"/>
    <sheet name="WRPF-PRO жим" sheetId="9" r:id="rId9"/>
    <sheet name="WRPF-PRO тяга" sheetId="10" r:id="rId10"/>
  </sheets>
  <definedNames/>
  <calcPr fullCalcOnLoad="1" refMode="R1C1"/>
</workbook>
</file>

<file path=xl/sharedStrings.xml><?xml version="1.0" encoding="utf-8"?>
<sst xmlns="http://schemas.openxmlformats.org/spreadsheetml/2006/main" count="13269" uniqueCount="3576">
  <si>
    <t>ФИО</t>
  </si>
  <si>
    <t>Присед</t>
  </si>
  <si>
    <t>Жим</t>
  </si>
  <si>
    <t>Тяга</t>
  </si>
  <si>
    <t>Сумма</t>
  </si>
  <si>
    <t>Тренер</t>
  </si>
  <si>
    <t>Очки</t>
  </si>
  <si>
    <t>Рек</t>
  </si>
  <si>
    <t>Wilks</t>
  </si>
  <si>
    <t>ВЕСОВАЯ КАТЕГОРИЯ   44</t>
  </si>
  <si>
    <t xml:space="preserve">Лично </t>
  </si>
  <si>
    <t>32,5</t>
  </si>
  <si>
    <t>35,0</t>
  </si>
  <si>
    <t>45,0</t>
  </si>
  <si>
    <t>ВЕСОВАЯ КАТЕГОРИЯ   52</t>
  </si>
  <si>
    <t>50,60</t>
  </si>
  <si>
    <t xml:space="preserve">Россия </t>
  </si>
  <si>
    <t>100,0</t>
  </si>
  <si>
    <t>115,0</t>
  </si>
  <si>
    <t>55,0</t>
  </si>
  <si>
    <t>110,0</t>
  </si>
  <si>
    <t>ВЕСОВАЯ КАТЕГОРИЯ   56</t>
  </si>
  <si>
    <t>56,00</t>
  </si>
  <si>
    <t xml:space="preserve">Казахстан </t>
  </si>
  <si>
    <t>120,0</t>
  </si>
  <si>
    <t>130,0</t>
  </si>
  <si>
    <t>70,0</t>
  </si>
  <si>
    <t xml:space="preserve">самостоятельно </t>
  </si>
  <si>
    <t>ВЕСОВАЯ КАТЕГОРИЯ   60</t>
  </si>
  <si>
    <t>60,00</t>
  </si>
  <si>
    <t>125,0</t>
  </si>
  <si>
    <t>80,0</t>
  </si>
  <si>
    <t>ВЕСОВАЯ КАТЕГОРИЯ   67.5</t>
  </si>
  <si>
    <t>140,0</t>
  </si>
  <si>
    <t>66,80</t>
  </si>
  <si>
    <t>150,0</t>
  </si>
  <si>
    <t>155,0</t>
  </si>
  <si>
    <t>75,0</t>
  </si>
  <si>
    <t>145,0</t>
  </si>
  <si>
    <t>67,50</t>
  </si>
  <si>
    <t>ВЕСОВАЯ КАТЕГОРИЯ   75</t>
  </si>
  <si>
    <t xml:space="preserve">Волгоград/Волгоградская область </t>
  </si>
  <si>
    <t>170,0</t>
  </si>
  <si>
    <t>180,0</t>
  </si>
  <si>
    <t>200,0</t>
  </si>
  <si>
    <t>92,5</t>
  </si>
  <si>
    <t>ВЕСОВАЯ КАТЕГОРИЯ   82.5</t>
  </si>
  <si>
    <t xml:space="preserve">Тюмень/Тюменская область </t>
  </si>
  <si>
    <t>190,0</t>
  </si>
  <si>
    <t>205,0</t>
  </si>
  <si>
    <t>90,0</t>
  </si>
  <si>
    <t>ВЕСОВАЯ КАТЕГОРИЯ   90+</t>
  </si>
  <si>
    <t>96,30</t>
  </si>
  <si>
    <t>66,50</t>
  </si>
  <si>
    <t>72,70</t>
  </si>
  <si>
    <t xml:space="preserve">Екатеринбург/Свердловская область </t>
  </si>
  <si>
    <t>210,0</t>
  </si>
  <si>
    <t>220,0</t>
  </si>
  <si>
    <t>135,0</t>
  </si>
  <si>
    <t>160,0</t>
  </si>
  <si>
    <t>82,50</t>
  </si>
  <si>
    <t xml:space="preserve">Брянск/Брянская область </t>
  </si>
  <si>
    <t>80,20</t>
  </si>
  <si>
    <t>250,0</t>
  </si>
  <si>
    <t xml:space="preserve">Железнодорожный/Московская область </t>
  </si>
  <si>
    <t>240,0</t>
  </si>
  <si>
    <t>247,5</t>
  </si>
  <si>
    <t>252,5</t>
  </si>
  <si>
    <t>235,0</t>
  </si>
  <si>
    <t xml:space="preserve">Ряховский Дмитрий </t>
  </si>
  <si>
    <t>81,70</t>
  </si>
  <si>
    <t xml:space="preserve">Волжский/Волгоградская область </t>
  </si>
  <si>
    <t>255,0</t>
  </si>
  <si>
    <t>270,0</t>
  </si>
  <si>
    <t>230,0</t>
  </si>
  <si>
    <t>82,30</t>
  </si>
  <si>
    <t xml:space="preserve">Чита/Забайкальский край </t>
  </si>
  <si>
    <t>260,0</t>
  </si>
  <si>
    <t xml:space="preserve">Украина </t>
  </si>
  <si>
    <t>245,0</t>
  </si>
  <si>
    <t>262,5</t>
  </si>
  <si>
    <t>81,50</t>
  </si>
  <si>
    <t>0,0</t>
  </si>
  <si>
    <t>280,0</t>
  </si>
  <si>
    <t>Джаборов Руслан</t>
  </si>
  <si>
    <t>Open (15.04.1985)/31</t>
  </si>
  <si>
    <t>81,80</t>
  </si>
  <si>
    <t xml:space="preserve">Балашиха/Московская область </t>
  </si>
  <si>
    <t>215,0</t>
  </si>
  <si>
    <t>82,00</t>
  </si>
  <si>
    <t>82,40</t>
  </si>
  <si>
    <t xml:space="preserve">Звенигород/Московская область </t>
  </si>
  <si>
    <t>Кандауров Сергей</t>
  </si>
  <si>
    <t>Master 40-49 (29.05.1974)/42</t>
  </si>
  <si>
    <t>ВЕСОВАЯ КАТЕГОРИЯ   90</t>
  </si>
  <si>
    <t>87,60</t>
  </si>
  <si>
    <t>89,00</t>
  </si>
  <si>
    <t>90,00</t>
  </si>
  <si>
    <t xml:space="preserve">Черноголовка/Московская область </t>
  </si>
  <si>
    <t>175,0</t>
  </si>
  <si>
    <t>87,40</t>
  </si>
  <si>
    <t xml:space="preserve">Воронеж/Воронежская область </t>
  </si>
  <si>
    <t>88,50</t>
  </si>
  <si>
    <t>285,0</t>
  </si>
  <si>
    <t>89,50</t>
  </si>
  <si>
    <t>89,70</t>
  </si>
  <si>
    <t>300,0</t>
  </si>
  <si>
    <t>88,70</t>
  </si>
  <si>
    <t xml:space="preserve">Пенза/Пензенская область </t>
  </si>
  <si>
    <t>165,0</t>
  </si>
  <si>
    <t>105,0</t>
  </si>
  <si>
    <t>ВЕСОВАЯ КАТЕГОРИЯ   100</t>
  </si>
  <si>
    <t>95,90</t>
  </si>
  <si>
    <t>225,0</t>
  </si>
  <si>
    <t xml:space="preserve">Новый Уренгой/Ямало-Ненецкий авт. окр. </t>
  </si>
  <si>
    <t>290,0</t>
  </si>
  <si>
    <t>265,0</t>
  </si>
  <si>
    <t xml:space="preserve">Швецов Станислав </t>
  </si>
  <si>
    <t xml:space="preserve">Липецк/Липецкая область </t>
  </si>
  <si>
    <t>96,00</t>
  </si>
  <si>
    <t>97,40</t>
  </si>
  <si>
    <t>185,0</t>
  </si>
  <si>
    <t>98,00</t>
  </si>
  <si>
    <t>162,5</t>
  </si>
  <si>
    <t xml:space="preserve">Омск/Омская область </t>
  </si>
  <si>
    <t>Open (13.05.1988)/28</t>
  </si>
  <si>
    <t xml:space="preserve">Челябинск/Челябинская область </t>
  </si>
  <si>
    <t>97,00</t>
  </si>
  <si>
    <t>99,90</t>
  </si>
  <si>
    <t>94,90</t>
  </si>
  <si>
    <t>142,5</t>
  </si>
  <si>
    <t>97,80</t>
  </si>
  <si>
    <t>98,60</t>
  </si>
  <si>
    <t>94,70</t>
  </si>
  <si>
    <t xml:space="preserve">Дубна/Московская область </t>
  </si>
  <si>
    <t>96,10</t>
  </si>
  <si>
    <t>ВЕСОВАЯ КАТЕГОРИЯ   110</t>
  </si>
  <si>
    <t>110,00</t>
  </si>
  <si>
    <t>ВЕСОВАЯ КАТЕГОРИЯ   125</t>
  </si>
  <si>
    <t>125,00</t>
  </si>
  <si>
    <t xml:space="preserve">Абсолютный зачёт </t>
  </si>
  <si>
    <t>Белоусова Ирина</t>
  </si>
  <si>
    <t>Open (01.11.1977)/39</t>
  </si>
  <si>
    <t>43,80</t>
  </si>
  <si>
    <t>85,0</t>
  </si>
  <si>
    <t>40,0</t>
  </si>
  <si>
    <t>42,5</t>
  </si>
  <si>
    <t xml:space="preserve">Царюк Антон </t>
  </si>
  <si>
    <t>ВЕСОВАЯ КАТЕГОРИЯ   48</t>
  </si>
  <si>
    <t>Гавриченко Анастасия</t>
  </si>
  <si>
    <t>Junior (13.11.1993)/23</t>
  </si>
  <si>
    <t>47,30</t>
  </si>
  <si>
    <t>47,5</t>
  </si>
  <si>
    <t>52,5</t>
  </si>
  <si>
    <t xml:space="preserve">Станислав Швецов </t>
  </si>
  <si>
    <t>Бойцова Ксения</t>
  </si>
  <si>
    <t>Open (28.10.1989)/27</t>
  </si>
  <si>
    <t>46,30</t>
  </si>
  <si>
    <t>Будкина Татьяна</t>
  </si>
  <si>
    <t>Open (02.04.1979)/37</t>
  </si>
  <si>
    <t>47,50</t>
  </si>
  <si>
    <t xml:space="preserve">Клинцы/Брянская область </t>
  </si>
  <si>
    <t>37,5</t>
  </si>
  <si>
    <t>Запольских Светлана</t>
  </si>
  <si>
    <t>Sub Junior 14-16 (13.03.2000)/16</t>
  </si>
  <si>
    <t>51,10</t>
  </si>
  <si>
    <t>Пею Юлия</t>
  </si>
  <si>
    <t>Junior (22.03.1996)/20</t>
  </si>
  <si>
    <t>77,5</t>
  </si>
  <si>
    <t>117,5</t>
  </si>
  <si>
    <t>Ненартович Юлия</t>
  </si>
  <si>
    <t>Open (03.01.1988)/28</t>
  </si>
  <si>
    <t>50,20</t>
  </si>
  <si>
    <t>50,0</t>
  </si>
  <si>
    <t xml:space="preserve">Ненартович Дмитрий </t>
  </si>
  <si>
    <t>Open (22.03.1996)/20</t>
  </si>
  <si>
    <t>Маринова Полина</t>
  </si>
  <si>
    <t>Junior (31.10.1996)/20</t>
  </si>
  <si>
    <t>55,30</t>
  </si>
  <si>
    <t xml:space="preserve">Тула/Тульская область </t>
  </si>
  <si>
    <t>95,0</t>
  </si>
  <si>
    <t xml:space="preserve">Суриков Д. </t>
  </si>
  <si>
    <t>Добря Кристина</t>
  </si>
  <si>
    <t>Open (20.04.1989)/27</t>
  </si>
  <si>
    <t>55,60</t>
  </si>
  <si>
    <t>57,5</t>
  </si>
  <si>
    <t>Косорукова Алена</t>
  </si>
  <si>
    <t>Open (19.02.1992)/24</t>
  </si>
  <si>
    <t>55,20</t>
  </si>
  <si>
    <t>147,5</t>
  </si>
  <si>
    <t xml:space="preserve">Мацько Игорь </t>
  </si>
  <si>
    <t>Позняк Ольга</t>
  </si>
  <si>
    <t>Open (19.07.1987)/29</t>
  </si>
  <si>
    <t>55,00</t>
  </si>
  <si>
    <t xml:space="preserve">Зелянин Сергей </t>
  </si>
  <si>
    <t>Поздняк Ольга</t>
  </si>
  <si>
    <t>Радюк Анна</t>
  </si>
  <si>
    <t>Junior (22.01.1993)/23</t>
  </si>
  <si>
    <t>59,90</t>
  </si>
  <si>
    <t xml:space="preserve">Томск/Томская область </t>
  </si>
  <si>
    <t xml:space="preserve">Обухович Александр </t>
  </si>
  <si>
    <t>Фархутдинова Линара</t>
  </si>
  <si>
    <t>Junior (20.07.1996)/20</t>
  </si>
  <si>
    <t>59,00</t>
  </si>
  <si>
    <t xml:space="preserve">Пею Юлия </t>
  </si>
  <si>
    <t>Рямаева Людмила</t>
  </si>
  <si>
    <t>Open (12.01.1980)/36</t>
  </si>
  <si>
    <t>59,80</t>
  </si>
  <si>
    <t>102,5</t>
  </si>
  <si>
    <t>60,0</t>
  </si>
  <si>
    <t>62,5</t>
  </si>
  <si>
    <t>65,0</t>
  </si>
  <si>
    <t>Емелёва Елена</t>
  </si>
  <si>
    <t>Master 40-49 (11.07.1976)/40</t>
  </si>
  <si>
    <t>59,10</t>
  </si>
  <si>
    <t xml:space="preserve">Шарья/Костромская область </t>
  </si>
  <si>
    <t>127,5</t>
  </si>
  <si>
    <t>Джунь Елена</t>
  </si>
  <si>
    <t>Master 40-49 (09.05.1970)/46</t>
  </si>
  <si>
    <t>57,80</t>
  </si>
  <si>
    <t xml:space="preserve">Медведев Артём </t>
  </si>
  <si>
    <t>Обвинцева Екатерина</t>
  </si>
  <si>
    <t>Sub Junior 14-16 (12.07.2001)/15</t>
  </si>
  <si>
    <t>64,60</t>
  </si>
  <si>
    <t xml:space="preserve">Балашов/Саратовская область </t>
  </si>
  <si>
    <t>122,5</t>
  </si>
  <si>
    <t xml:space="preserve">Лученков Сергей </t>
  </si>
  <si>
    <t>Кадушникова Мария</t>
  </si>
  <si>
    <t>Junior (14.01.1995)/21</t>
  </si>
  <si>
    <t xml:space="preserve">Давыдов Дмитрий </t>
  </si>
  <si>
    <t>Медведева Ирина</t>
  </si>
  <si>
    <t>Open (22.03.1987)/29</t>
  </si>
  <si>
    <t>65,30</t>
  </si>
  <si>
    <t>Климова Марина</t>
  </si>
  <si>
    <t>Open (05.08.1978)/38</t>
  </si>
  <si>
    <t>64,40</t>
  </si>
  <si>
    <t xml:space="preserve">Падалко Алексей </t>
  </si>
  <si>
    <t>Евтушенко Елена</t>
  </si>
  <si>
    <t>Open (15.09.1986)/30</t>
  </si>
  <si>
    <t>64,70</t>
  </si>
  <si>
    <t xml:space="preserve">Энем/Республика Адыгея </t>
  </si>
  <si>
    <t>Погула Екатерина</t>
  </si>
  <si>
    <t>Master 40-49 (28.04.1972)/44</t>
  </si>
  <si>
    <t xml:space="preserve">Цветков Александр </t>
  </si>
  <si>
    <t>Ларина Наталья</t>
  </si>
  <si>
    <t>Master 50-59 (18.01.1964)/52</t>
  </si>
  <si>
    <t>67,40</t>
  </si>
  <si>
    <t xml:space="preserve">Танаев Михаил </t>
  </si>
  <si>
    <t>Парфёнова Галина</t>
  </si>
  <si>
    <t>Sub Junior 17-19 (27.12.1998)/17</t>
  </si>
  <si>
    <t>73,80</t>
  </si>
  <si>
    <t>Замашнюк Анастасия</t>
  </si>
  <si>
    <t>Junior (23.03.1996)/20</t>
  </si>
  <si>
    <t>74,60</t>
  </si>
  <si>
    <t>132,5</t>
  </si>
  <si>
    <t xml:space="preserve">Папенков Павел </t>
  </si>
  <si>
    <t>Бурнашов Владимир</t>
  </si>
  <si>
    <t>Sub Junior 14-16 (15.11.2002)/14</t>
  </si>
  <si>
    <t xml:space="preserve">Буй/Костромская область </t>
  </si>
  <si>
    <t xml:space="preserve">Бурнашов Василий </t>
  </si>
  <si>
    <t>Гатаев Динислам</t>
  </si>
  <si>
    <t>Junior (23.10.1996)/20</t>
  </si>
  <si>
    <t xml:space="preserve">Карачаевск/Карачаево-Черкесия </t>
  </si>
  <si>
    <t xml:space="preserve">Алхазов Алихан </t>
  </si>
  <si>
    <t>Open (23.10.1996)/20</t>
  </si>
  <si>
    <t>Грачев Николай</t>
  </si>
  <si>
    <t>Master 60-69 (16.04.1956)/60</t>
  </si>
  <si>
    <t>51,00</t>
  </si>
  <si>
    <t>107,5</t>
  </si>
  <si>
    <t xml:space="preserve">Грачев Юрий, Грачева Татьяна </t>
  </si>
  <si>
    <t>Тараруев Данил</t>
  </si>
  <si>
    <t>Sub Junior 14-16 (26.10.2000)/16</t>
  </si>
  <si>
    <t>58,30</t>
  </si>
  <si>
    <t>Иванов Моисей</t>
  </si>
  <si>
    <t>Sub Junior 17-19 (22.03.1997)/19</t>
  </si>
  <si>
    <t>Мешков Павел</t>
  </si>
  <si>
    <t>Junior (16.04.1993)/23</t>
  </si>
  <si>
    <t>66,00</t>
  </si>
  <si>
    <t xml:space="preserve">Королёв/Московская область </t>
  </si>
  <si>
    <t>Ткачёв Семён</t>
  </si>
  <si>
    <t>Junior (18.09.1994)/22</t>
  </si>
  <si>
    <t>65,10</t>
  </si>
  <si>
    <t xml:space="preserve">Кубинка/Московская область </t>
  </si>
  <si>
    <t>195,0</t>
  </si>
  <si>
    <t>202,5</t>
  </si>
  <si>
    <t>97,5</t>
  </si>
  <si>
    <t>Тебеньков Павел</t>
  </si>
  <si>
    <t>Junior (26.01.1993)/23</t>
  </si>
  <si>
    <t>62,90</t>
  </si>
  <si>
    <t>Ким Андрей</t>
  </si>
  <si>
    <t>Open (27.06.1986)/30</t>
  </si>
  <si>
    <t>61,70</t>
  </si>
  <si>
    <t>232,5</t>
  </si>
  <si>
    <t xml:space="preserve">Целованников Валерий </t>
  </si>
  <si>
    <t>Garcia Carrillo-Exal</t>
  </si>
  <si>
    <t>Open (14.04.1984)/32</t>
  </si>
  <si>
    <t>66,60</t>
  </si>
  <si>
    <t xml:space="preserve">Vina del Mar/Valparaiso </t>
  </si>
  <si>
    <t>Open (16.04.1993)/23</t>
  </si>
  <si>
    <t>Карпов Евгений</t>
  </si>
  <si>
    <t>Open (26.10.1979)/37</t>
  </si>
  <si>
    <t>172,5</t>
  </si>
  <si>
    <t>Внуков Евгений</t>
  </si>
  <si>
    <t>Open (12.04.1989)/27</t>
  </si>
  <si>
    <t>Кузнецов Константин</t>
  </si>
  <si>
    <t>Open (29.06.1981)/35</t>
  </si>
  <si>
    <t>74,50</t>
  </si>
  <si>
    <t>212,5</t>
  </si>
  <si>
    <t>137,5</t>
  </si>
  <si>
    <t>197,5</t>
  </si>
  <si>
    <t>Степанов Олег</t>
  </si>
  <si>
    <t>Open (22.04.1990)/26</t>
  </si>
  <si>
    <t>74,80</t>
  </si>
  <si>
    <t>242,5</t>
  </si>
  <si>
    <t>Герман Алексей</t>
  </si>
  <si>
    <t>Open (12.10.1989)/27</t>
  </si>
  <si>
    <t xml:space="preserve">Великие Луки/Псковская область </t>
  </si>
  <si>
    <t>207,5</t>
  </si>
  <si>
    <t>Попов Марк</t>
  </si>
  <si>
    <t>Open (09.02.1996)/20</t>
  </si>
  <si>
    <t>75,00</t>
  </si>
  <si>
    <t xml:space="preserve">Белгород/Белгородская область </t>
  </si>
  <si>
    <t>Алампиев Сергей</t>
  </si>
  <si>
    <t>Master 50-59 (07.04.1957)/59</t>
  </si>
  <si>
    <t>72,40</t>
  </si>
  <si>
    <t xml:space="preserve">Шахты/Ростовская область </t>
  </si>
  <si>
    <t>Сухинин Владимир</t>
  </si>
  <si>
    <t>Master 60-69 (25.04.1951)/65</t>
  </si>
  <si>
    <t>74,10</t>
  </si>
  <si>
    <t xml:space="preserve">Подольск/Московская область </t>
  </si>
  <si>
    <t>157,5</t>
  </si>
  <si>
    <t>87,5</t>
  </si>
  <si>
    <t>Пэдурец Евгений</t>
  </si>
  <si>
    <t>Sub Junior 17-19 (19.05.1999)/17</t>
  </si>
  <si>
    <t>79,60</t>
  </si>
  <si>
    <t xml:space="preserve">Солнечногорск/Московская область </t>
  </si>
  <si>
    <t>Беспалов Артём</t>
  </si>
  <si>
    <t>Junior (28.08.1993)/23</t>
  </si>
  <si>
    <t>Myanganbaatar Luvsandanzan</t>
  </si>
  <si>
    <t>Junior (29.12.1992)/23</t>
  </si>
  <si>
    <t xml:space="preserve">Монголия </t>
  </si>
  <si>
    <t xml:space="preserve">Улан Батор/ </t>
  </si>
  <si>
    <t>192,5</t>
  </si>
  <si>
    <t xml:space="preserve">Sharavdorj Ariunbaatar </t>
  </si>
  <si>
    <t>Перов Василий</t>
  </si>
  <si>
    <t>Open (06.03.1979)/37</t>
  </si>
  <si>
    <t>82,10</t>
  </si>
  <si>
    <t xml:space="preserve">Мытищи/Московская область </t>
  </si>
  <si>
    <t>167,5</t>
  </si>
  <si>
    <t>Плескач Дмитрий</t>
  </si>
  <si>
    <t>Open (31.07.1988)/28</t>
  </si>
  <si>
    <t>80,70</t>
  </si>
  <si>
    <t>227,5</t>
  </si>
  <si>
    <t>Анточ Михаил</t>
  </si>
  <si>
    <t>Open (26.10.1992)/24</t>
  </si>
  <si>
    <t>79,10</t>
  </si>
  <si>
    <t xml:space="preserve">Апрелевка/Московская область </t>
  </si>
  <si>
    <t>Шипов Иван</t>
  </si>
  <si>
    <t>Open (06.05.1987)/29</t>
  </si>
  <si>
    <t>Тушин Алексей</t>
  </si>
  <si>
    <t>Master 50-59 (03.05.1964)/52</t>
  </si>
  <si>
    <t>Гончаров Денис</t>
  </si>
  <si>
    <t>Sub Junior 17-19 (19.11.1996)/19</t>
  </si>
  <si>
    <t>89,30</t>
  </si>
  <si>
    <t xml:space="preserve">Саратов/Саратовская область </t>
  </si>
  <si>
    <t xml:space="preserve">Лепешенков Владимир </t>
  </si>
  <si>
    <t>Шаповалов Игорь</t>
  </si>
  <si>
    <t>Sub Junior 17-19 (05.02.1998)/18</t>
  </si>
  <si>
    <t>87,30</t>
  </si>
  <si>
    <t xml:space="preserve">Таганрог/Ростовская область </t>
  </si>
  <si>
    <t>217,5</t>
  </si>
  <si>
    <t>Милашин Федор</t>
  </si>
  <si>
    <t>Sub Junior 17-19 (27.12.1996)/19</t>
  </si>
  <si>
    <t>89,20</t>
  </si>
  <si>
    <t xml:space="preserve">Нижний Новгород/Нижегородская область </t>
  </si>
  <si>
    <t>Бокарев Савелий</t>
  </si>
  <si>
    <t>Sub Junior 17-19 (30.10.1998)/18</t>
  </si>
  <si>
    <t>Федорец Олег</t>
  </si>
  <si>
    <t>Junior (05.12.1992)/23</t>
  </si>
  <si>
    <t>89,90</t>
  </si>
  <si>
    <t xml:space="preserve">Федорец Михаил </t>
  </si>
  <si>
    <t>Кузин Кирилл</t>
  </si>
  <si>
    <t>Junior (27.02.1996)/20</t>
  </si>
  <si>
    <t>88,30</t>
  </si>
  <si>
    <t xml:space="preserve">Климовск/Московская область </t>
  </si>
  <si>
    <t>Свирин Алексей</t>
  </si>
  <si>
    <t>Junior (29.10.1994)/22</t>
  </si>
  <si>
    <t>86,20</t>
  </si>
  <si>
    <t>Кудайбергенов Бахыт</t>
  </si>
  <si>
    <t>Open (18.04.1991)/25</t>
  </si>
  <si>
    <t>275,0</t>
  </si>
  <si>
    <t>Стегареску Иван</t>
  </si>
  <si>
    <t>Open (23.02.1985)/31</t>
  </si>
  <si>
    <t>89,60</t>
  </si>
  <si>
    <t>Sharavdorj Ariunbaatar</t>
  </si>
  <si>
    <t>Open (09.04.1982)/34</t>
  </si>
  <si>
    <t>88,80</t>
  </si>
  <si>
    <t>Taivantumur Amarzaya</t>
  </si>
  <si>
    <t>Open (02.08.1987)/29</t>
  </si>
  <si>
    <t>177,5</t>
  </si>
  <si>
    <t>Собцов Дмитрий</t>
  </si>
  <si>
    <t>Open (04.06.1991)/25</t>
  </si>
  <si>
    <t>89,40</t>
  </si>
  <si>
    <t xml:space="preserve">Долгопрудный/Московская область </t>
  </si>
  <si>
    <t>Владимиров Евгений</t>
  </si>
  <si>
    <t>Open (22.08.1964)/52</t>
  </si>
  <si>
    <t>Аветисян Георгий</t>
  </si>
  <si>
    <t>Open (17.04.1990)/26</t>
  </si>
  <si>
    <t>85,70</t>
  </si>
  <si>
    <t xml:space="preserve">Сочи/Краснодарский край </t>
  </si>
  <si>
    <t>152,5</t>
  </si>
  <si>
    <t>222,5</t>
  </si>
  <si>
    <t>Чумичев Владимир</t>
  </si>
  <si>
    <t>Open (21.09.1992)/24</t>
  </si>
  <si>
    <t>88,10</t>
  </si>
  <si>
    <t>Петров Артем</t>
  </si>
  <si>
    <t>Open (28.09.1988)/28</t>
  </si>
  <si>
    <t>87,70</t>
  </si>
  <si>
    <t>Бызов Андрей</t>
  </si>
  <si>
    <t>Open (09.07.1982)/34</t>
  </si>
  <si>
    <t>88,60</t>
  </si>
  <si>
    <t xml:space="preserve">Демин Р Н </t>
  </si>
  <si>
    <t>Шавкович Александр</t>
  </si>
  <si>
    <t>Open (17.04.1995)/21</t>
  </si>
  <si>
    <t xml:space="preserve">Дедовск/Московская область </t>
  </si>
  <si>
    <t>Бондик Денис</t>
  </si>
  <si>
    <t>Open (09.08.1974)/42</t>
  </si>
  <si>
    <t>Master 50-59 (22.08.1964)/52</t>
  </si>
  <si>
    <t>Рогалев Александр</t>
  </si>
  <si>
    <t>Master 50-59 (08.08.1957)/59</t>
  </si>
  <si>
    <t>84,80</t>
  </si>
  <si>
    <t xml:space="preserve">Егорьевск/Московская область </t>
  </si>
  <si>
    <t xml:space="preserve">Копылов </t>
  </si>
  <si>
    <t>Волобуев Никита</t>
  </si>
  <si>
    <t>Sub Junior 17-19 (17.04.1999)/17</t>
  </si>
  <si>
    <t>91,30</t>
  </si>
  <si>
    <t xml:space="preserve">Курск/Курская область </t>
  </si>
  <si>
    <t>Лойко Вадим</t>
  </si>
  <si>
    <t>Junior (16.04.1994)/22</t>
  </si>
  <si>
    <t>90,10</t>
  </si>
  <si>
    <t>Востриков Иван</t>
  </si>
  <si>
    <t>Junior (16.10.1995)/21</t>
  </si>
  <si>
    <t>96,90</t>
  </si>
  <si>
    <t xml:space="preserve">Тырнов Алексей </t>
  </si>
  <si>
    <t>Кармишин Илья</t>
  </si>
  <si>
    <t>Open (01.10.1984)/32</t>
  </si>
  <si>
    <t>287,5</t>
  </si>
  <si>
    <t>292,5</t>
  </si>
  <si>
    <t xml:space="preserve">Коротков Максим </t>
  </si>
  <si>
    <t>Sharavdorj Altanbagana</t>
  </si>
  <si>
    <t>Open (17.05.1990)/26</t>
  </si>
  <si>
    <t>257,5</t>
  </si>
  <si>
    <t>Качан Андрей</t>
  </si>
  <si>
    <t>Open (06.08.1985)/31</t>
  </si>
  <si>
    <t>91,70</t>
  </si>
  <si>
    <t>Нукишев Куаныш</t>
  </si>
  <si>
    <t>Open (01.09.1974)/42</t>
  </si>
  <si>
    <t>96,80</t>
  </si>
  <si>
    <t xml:space="preserve">Шемонаиха/Восточно-Казахстанск </t>
  </si>
  <si>
    <t>Open (16.04.1994)/22</t>
  </si>
  <si>
    <t>Комарчук Виталий</t>
  </si>
  <si>
    <t>Open (07.10.1977)/39</t>
  </si>
  <si>
    <t>100,00</t>
  </si>
  <si>
    <t>Попандопуло Павел</t>
  </si>
  <si>
    <t>Open (21.02.1985)/31</t>
  </si>
  <si>
    <t>Жуков Дмитрий</t>
  </si>
  <si>
    <t>Open (06.12.1976)/39</t>
  </si>
  <si>
    <t>95,10</t>
  </si>
  <si>
    <t>237,5</t>
  </si>
  <si>
    <t>Казубский Сергей</t>
  </si>
  <si>
    <t>Open (06.01.1980)/36</t>
  </si>
  <si>
    <t>97,10</t>
  </si>
  <si>
    <t>Бредихин Николай</t>
  </si>
  <si>
    <t>Open (09.02.1992)/24</t>
  </si>
  <si>
    <t>98,40</t>
  </si>
  <si>
    <t xml:space="preserve">Леликов Павел </t>
  </si>
  <si>
    <t>Якимов Руслан</t>
  </si>
  <si>
    <t>Open (21.11.1983)/32</t>
  </si>
  <si>
    <t>98,10</t>
  </si>
  <si>
    <t xml:space="preserve">Поздеев Константин </t>
  </si>
  <si>
    <t>Медведев Артём</t>
  </si>
  <si>
    <t>Open (19.09.1982)/34</t>
  </si>
  <si>
    <t>98,90</t>
  </si>
  <si>
    <t>Иниев Умар</t>
  </si>
  <si>
    <t>Open (25.12.1985)/30</t>
  </si>
  <si>
    <t>310,0</t>
  </si>
  <si>
    <t>Zundui Munkh-Erdene</t>
  </si>
  <si>
    <t>94,40</t>
  </si>
  <si>
    <t>Master 40-49 (01.09.1974)/42</t>
  </si>
  <si>
    <t>Толмачев Михаил</t>
  </si>
  <si>
    <t>Master 40-49 (29.10.1975)/41</t>
  </si>
  <si>
    <t xml:space="preserve">Алексей Кривошея </t>
  </si>
  <si>
    <t>Зупка Мартин</t>
  </si>
  <si>
    <t>Master 40-49 (17.06.1976)/40</t>
  </si>
  <si>
    <t>98,50</t>
  </si>
  <si>
    <t>Джайтабаров Мурат</t>
  </si>
  <si>
    <t>Master 50-59 (03.12.1963)/52</t>
  </si>
  <si>
    <t>99,80</t>
  </si>
  <si>
    <t>Страхалис Сергей</t>
  </si>
  <si>
    <t>Master 50-59 (10.03.1963)/53</t>
  </si>
  <si>
    <t>Иманбаев Мухтар</t>
  </si>
  <si>
    <t>Master 50-59 (28.03.1964)/52</t>
  </si>
  <si>
    <t>99,20</t>
  </si>
  <si>
    <t>Быстров Валерий</t>
  </si>
  <si>
    <t>Master 70-79 (14.06.1941)/75</t>
  </si>
  <si>
    <t>Ромов Никита</t>
  </si>
  <si>
    <t>Sub Junior 14-16 (25.12.2000)/15</t>
  </si>
  <si>
    <t>107,60</t>
  </si>
  <si>
    <t>240,5</t>
  </si>
  <si>
    <t xml:space="preserve">Родион Попов </t>
  </si>
  <si>
    <t>Решетников Артём</t>
  </si>
  <si>
    <t>Open (08.06.1989)/27</t>
  </si>
  <si>
    <t>106,80</t>
  </si>
  <si>
    <t>295,0</t>
  </si>
  <si>
    <t>Апанасевич Борис</t>
  </si>
  <si>
    <t>Open (07.07.1982)/34</t>
  </si>
  <si>
    <t>103,10</t>
  </si>
  <si>
    <t xml:space="preserve">Ивантеевка/Московская область </t>
  </si>
  <si>
    <t>Черемнов Андрей</t>
  </si>
  <si>
    <t>Open (14.12.1987)/28</t>
  </si>
  <si>
    <t>108,30</t>
  </si>
  <si>
    <t xml:space="preserve">Новосибирск/Новосибирская область </t>
  </si>
  <si>
    <t>Жуманьязов Жаслан</t>
  </si>
  <si>
    <t>Open (01.11.1987)/29</t>
  </si>
  <si>
    <t xml:space="preserve">село Александров Гай/Саратовск </t>
  </si>
  <si>
    <t xml:space="preserve">Клопков Илья </t>
  </si>
  <si>
    <t>Сичинава Давид</t>
  </si>
  <si>
    <t>Open (18.09.1991)/25</t>
  </si>
  <si>
    <t>105,50</t>
  </si>
  <si>
    <t xml:space="preserve">Касимов/Рязанская область </t>
  </si>
  <si>
    <t>Герун Андрей</t>
  </si>
  <si>
    <t>Master 40-49 (02.02.1971)/45</t>
  </si>
  <si>
    <t>100,80</t>
  </si>
  <si>
    <t>Нигматуллин Рустем</t>
  </si>
  <si>
    <t>Master 40-49 (10.03.1975)/41</t>
  </si>
  <si>
    <t>100,20</t>
  </si>
  <si>
    <t>187,5</t>
  </si>
  <si>
    <t>182,5</t>
  </si>
  <si>
    <t>Шишкин Андрей</t>
  </si>
  <si>
    <t>Master 50-59 (02.09.1962)/54</t>
  </si>
  <si>
    <t>109,30</t>
  </si>
  <si>
    <t xml:space="preserve">Реутов/Московская область </t>
  </si>
  <si>
    <t>Ricards Buzinskis</t>
  </si>
  <si>
    <t>Sub Junior 17-19 (03.03.1997)/19</t>
  </si>
  <si>
    <t>117,00</t>
  </si>
  <si>
    <t xml:space="preserve">Dainis Zageris </t>
  </si>
  <si>
    <t>Сосюк Владимир</t>
  </si>
  <si>
    <t>Open (23.11.1981)/34</t>
  </si>
  <si>
    <t>123,30</t>
  </si>
  <si>
    <t>315,0</t>
  </si>
  <si>
    <t>325,0</t>
  </si>
  <si>
    <t>305,0</t>
  </si>
  <si>
    <t>Мацкул Павел</t>
  </si>
  <si>
    <t>Open (18.07.1990)/26</t>
  </si>
  <si>
    <t>122,90</t>
  </si>
  <si>
    <t xml:space="preserve">Панферова Марифя </t>
  </si>
  <si>
    <t>Трдатьян Левон</t>
  </si>
  <si>
    <t>Open (28.11.1980)/35</t>
  </si>
  <si>
    <t>120,50</t>
  </si>
  <si>
    <t>Ненартович Дмитрий</t>
  </si>
  <si>
    <t>Open (21.12.1987)/28</t>
  </si>
  <si>
    <t>110,40</t>
  </si>
  <si>
    <t>Трофимов Денис</t>
  </si>
  <si>
    <t>Open (25.08.1992)/24</t>
  </si>
  <si>
    <t>114,50</t>
  </si>
  <si>
    <t xml:space="preserve">Высоковск/Московская область </t>
  </si>
  <si>
    <t>Бебиашвили Георгий</t>
  </si>
  <si>
    <t>Open (13.01.1997)/19</t>
  </si>
  <si>
    <t>Воронцов Артем</t>
  </si>
  <si>
    <t>Master 40-49 (03.08.1976)/40</t>
  </si>
  <si>
    <t>113,50</t>
  </si>
  <si>
    <t xml:space="preserve">Тихвин/Ленинградская область </t>
  </si>
  <si>
    <t>Поливанов Владимир</t>
  </si>
  <si>
    <t>Master 50-59 (20.01.1963)/53</t>
  </si>
  <si>
    <t>122,50</t>
  </si>
  <si>
    <t xml:space="preserve">Грищенко Василий </t>
  </si>
  <si>
    <t>ВЕСОВАЯ КАТЕГОРИЯ   140</t>
  </si>
  <si>
    <t>Свентицкий Сергей</t>
  </si>
  <si>
    <t>Junior (06.02.1994)/22</t>
  </si>
  <si>
    <t>137,90</t>
  </si>
  <si>
    <t>305,5</t>
  </si>
  <si>
    <t>Котов Алексей</t>
  </si>
  <si>
    <t>Open (24.01.1980)/36</t>
  </si>
  <si>
    <t>133,60</t>
  </si>
  <si>
    <t>Длужневский Дмитрий</t>
  </si>
  <si>
    <t>Open (28.10.1983)/33</t>
  </si>
  <si>
    <t>130,30</t>
  </si>
  <si>
    <t xml:space="preserve">Зобов Леонид </t>
  </si>
  <si>
    <t>Сытник Василий</t>
  </si>
  <si>
    <t>Open (26.10.1987)/29</t>
  </si>
  <si>
    <t>130,90</t>
  </si>
  <si>
    <t>ВЕСОВАЯ КАТЕГОРИЯ   140+</t>
  </si>
  <si>
    <t>Кондратенко Михаил</t>
  </si>
  <si>
    <t>Open (05.01.1987)/29</t>
  </si>
  <si>
    <t>152,80</t>
  </si>
  <si>
    <t xml:space="preserve">Женщины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</si>
  <si>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</si>
  <si>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</si>
  <si>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</si>
  <si>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</si>
  <si>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</si>
  <si>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</si>
  <si>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Юноши 14-16 </t>
  </si>
  <si>
    <t xml:space="preserve">67.5 </t>
  </si>
  <si>
    <t>316,1700</t>
  </si>
  <si>
    <t xml:space="preserve">Юноши 17-19 </t>
  </si>
  <si>
    <t xml:space="preserve">75 </t>
  </si>
  <si>
    <t>292,9220</t>
  </si>
  <si>
    <t xml:space="preserve">Юниоры </t>
  </si>
  <si>
    <t xml:space="preserve">60 </t>
  </si>
  <si>
    <t>385,0</t>
  </si>
  <si>
    <t>429,7755</t>
  </si>
  <si>
    <t xml:space="preserve">48 </t>
  </si>
  <si>
    <t>297,8608</t>
  </si>
  <si>
    <t xml:space="preserve">52 </t>
  </si>
  <si>
    <t>292,7900</t>
  </si>
  <si>
    <t>223,0763</t>
  </si>
  <si>
    <t xml:space="preserve">Открытая </t>
  </si>
  <si>
    <t xml:space="preserve">56 </t>
  </si>
  <si>
    <t>360,8760</t>
  </si>
  <si>
    <t>302,5</t>
  </si>
  <si>
    <t>359,9750</t>
  </si>
  <si>
    <t xml:space="preserve">44 </t>
  </si>
  <si>
    <t>342,4827</t>
  </si>
  <si>
    <t>322,5</t>
  </si>
  <si>
    <t>337,1738</t>
  </si>
  <si>
    <t>335,3400</t>
  </si>
  <si>
    <t>326,2560</t>
  </si>
  <si>
    <t>320,2000</t>
  </si>
  <si>
    <t>285,2280</t>
  </si>
  <si>
    <t>276,9295</t>
  </si>
  <si>
    <t>255,2798</t>
  </si>
  <si>
    <t xml:space="preserve">Мастера </t>
  </si>
  <si>
    <t xml:space="preserve">Мастера 40-49 </t>
  </si>
  <si>
    <t>340,2653</t>
  </si>
  <si>
    <t>324,3288</t>
  </si>
  <si>
    <t>191,1843</t>
  </si>
  <si>
    <t xml:space="preserve">Мужчины </t>
  </si>
  <si>
    <t xml:space="preserve">90 </t>
  </si>
  <si>
    <t>602,5</t>
  </si>
  <si>
    <t>386,2025</t>
  </si>
  <si>
    <t>410,0</t>
  </si>
  <si>
    <t>378,5530</t>
  </si>
  <si>
    <t>560,0</t>
  </si>
  <si>
    <t>363,2720</t>
  </si>
  <si>
    <t>557,5</t>
  </si>
  <si>
    <t>357,5248</t>
  </si>
  <si>
    <t>555,0</t>
  </si>
  <si>
    <t>354,9225</t>
  </si>
  <si>
    <t xml:space="preserve">110 </t>
  </si>
  <si>
    <t>590,0</t>
  </si>
  <si>
    <t>349,6340</t>
  </si>
  <si>
    <t>390,0</t>
  </si>
  <si>
    <t>341,6010</t>
  </si>
  <si>
    <t xml:space="preserve">82.5 </t>
  </si>
  <si>
    <t>475,0</t>
  </si>
  <si>
    <t>325,3275</t>
  </si>
  <si>
    <t xml:space="preserve">125 </t>
  </si>
  <si>
    <t>550,0</t>
  </si>
  <si>
    <t>318,1750</t>
  </si>
  <si>
    <t>660,0</t>
  </si>
  <si>
    <t>421,6080</t>
  </si>
  <si>
    <t xml:space="preserve">100 </t>
  </si>
  <si>
    <t>647,5</t>
  </si>
  <si>
    <t>413,1050</t>
  </si>
  <si>
    <t xml:space="preserve">140 </t>
  </si>
  <si>
    <t>737,5</t>
  </si>
  <si>
    <t>413,0738</t>
  </si>
  <si>
    <t>630,0</t>
  </si>
  <si>
    <t>406,1610</t>
  </si>
  <si>
    <t>404,2172</t>
  </si>
  <si>
    <t>500,0</t>
  </si>
  <si>
    <t>392,6000</t>
  </si>
  <si>
    <t>600,0</t>
  </si>
  <si>
    <t>369,9600</t>
  </si>
  <si>
    <t>465,0</t>
  </si>
  <si>
    <t>369,3030</t>
  </si>
  <si>
    <t>445,0</t>
  </si>
  <si>
    <t>363,9210</t>
  </si>
  <si>
    <t>540,0</t>
  </si>
  <si>
    <t>352,7280</t>
  </si>
  <si>
    <t>502,5</t>
  </si>
  <si>
    <t>337,1272</t>
  </si>
  <si>
    <t>580,0</t>
  </si>
  <si>
    <t>482,3860</t>
  </si>
  <si>
    <t>755,0</t>
  </si>
  <si>
    <t>467,6470</t>
  </si>
  <si>
    <t>722,5</t>
  </si>
  <si>
    <t>461,2440</t>
  </si>
  <si>
    <t>757,5</t>
  </si>
  <si>
    <t>461,1660</t>
  </si>
  <si>
    <t>800,0</t>
  </si>
  <si>
    <t>457,2000</t>
  </si>
  <si>
    <t>765,0</t>
  </si>
  <si>
    <t>454,4865</t>
  </si>
  <si>
    <t>672,5</t>
  </si>
  <si>
    <t>451,8527</t>
  </si>
  <si>
    <t>705,0</t>
  </si>
  <si>
    <t>451,0590</t>
  </si>
  <si>
    <t>790,0</t>
  </si>
  <si>
    <t>444,6910</t>
  </si>
  <si>
    <t>682,5</t>
  </si>
  <si>
    <t>438,7110</t>
  </si>
  <si>
    <t>437,4825</t>
  </si>
  <si>
    <t xml:space="preserve">140+ </t>
  </si>
  <si>
    <t>780,0</t>
  </si>
  <si>
    <t>430,4820</t>
  </si>
  <si>
    <t>710,0</t>
  </si>
  <si>
    <t>427,0650</t>
  </si>
  <si>
    <t>675,0</t>
  </si>
  <si>
    <t>426,9375</t>
  </si>
  <si>
    <t>535,0</t>
  </si>
  <si>
    <t>416,9790</t>
  </si>
  <si>
    <t>413,1978</t>
  </si>
  <si>
    <t>407,4000</t>
  </si>
  <si>
    <t>407,1540</t>
  </si>
  <si>
    <t>405,6840</t>
  </si>
  <si>
    <t>404,9520</t>
  </si>
  <si>
    <t>562,5</t>
  </si>
  <si>
    <t>402,6938</t>
  </si>
  <si>
    <t>685,0</t>
  </si>
  <si>
    <t>402,6430</t>
  </si>
  <si>
    <t>620,0</t>
  </si>
  <si>
    <t>397,1720</t>
  </si>
  <si>
    <t xml:space="preserve">Мастера 70-79 </t>
  </si>
  <si>
    <t>492,5</t>
  </si>
  <si>
    <t>582,8787</t>
  </si>
  <si>
    <t xml:space="preserve">Мастера 50-59 </t>
  </si>
  <si>
    <t>490,0</t>
  </si>
  <si>
    <t>483,3581</t>
  </si>
  <si>
    <t xml:space="preserve">Мастера 60-69 </t>
  </si>
  <si>
    <t>437,5</t>
  </si>
  <si>
    <t>481,9560</t>
  </si>
  <si>
    <t>605,0</t>
  </si>
  <si>
    <t>461,9044</t>
  </si>
  <si>
    <t>625,0</t>
  </si>
  <si>
    <t>452,5947</t>
  </si>
  <si>
    <t>317,5</t>
  </si>
  <si>
    <t>438,8511</t>
  </si>
  <si>
    <t>431,7288</t>
  </si>
  <si>
    <t>422,7120</t>
  </si>
  <si>
    <t>412,8542</t>
  </si>
  <si>
    <t>700,0</t>
  </si>
  <si>
    <t>408,1700</t>
  </si>
  <si>
    <t>655,0</t>
  </si>
  <si>
    <t>400,6262</t>
  </si>
  <si>
    <t>530,0</t>
  </si>
  <si>
    <t>394,6371</t>
  </si>
  <si>
    <t>545,0</t>
  </si>
  <si>
    <t>394,0359</t>
  </si>
  <si>
    <t>455,0</t>
  </si>
  <si>
    <t>361,8029</t>
  </si>
  <si>
    <t>358,5294</t>
  </si>
  <si>
    <t>462,5</t>
  </si>
  <si>
    <t>335,2118</t>
  </si>
  <si>
    <t>510,0</t>
  </si>
  <si>
    <t>312,2730</t>
  </si>
  <si>
    <t>505,0</t>
  </si>
  <si>
    <t>308,6260</t>
  </si>
  <si>
    <t xml:space="preserve">Смоленск/Смоленская область </t>
  </si>
  <si>
    <t>99,30</t>
  </si>
  <si>
    <t>Виноградова Анастасия</t>
  </si>
  <si>
    <t>Open (29.08.1991)/25</t>
  </si>
  <si>
    <t>47,40</t>
  </si>
  <si>
    <t xml:space="preserve">Князев Михаил </t>
  </si>
  <si>
    <t>Юрьева Олеся</t>
  </si>
  <si>
    <t>Open (21.11.1979)/36</t>
  </si>
  <si>
    <t>Бизяева Ирина</t>
  </si>
  <si>
    <t>Junior (17.06.1996)/20</t>
  </si>
  <si>
    <t>49,60</t>
  </si>
  <si>
    <t>Тарасова Валентина</t>
  </si>
  <si>
    <t>Open (07.07.1975)/41</t>
  </si>
  <si>
    <t xml:space="preserve">Иминов Иркин </t>
  </si>
  <si>
    <t>Кукина Варвара</t>
  </si>
  <si>
    <t>Open (12.05.1991)/25</t>
  </si>
  <si>
    <t>51,70</t>
  </si>
  <si>
    <t>Дзюба Анастасия</t>
  </si>
  <si>
    <t>Sub Junior 14-16 (13.10.2003)/13</t>
  </si>
  <si>
    <t>54,20</t>
  </si>
  <si>
    <t xml:space="preserve">Череповец/Вологодская область </t>
  </si>
  <si>
    <t>67,5</t>
  </si>
  <si>
    <t>72,5</t>
  </si>
  <si>
    <t xml:space="preserve">Дзюба Алла </t>
  </si>
  <si>
    <t>Куприянова Юлия</t>
  </si>
  <si>
    <t>Junior (08.02.1993)/23</t>
  </si>
  <si>
    <t>Вытнова Наталья</t>
  </si>
  <si>
    <t>Open (26.07.1979)/37</t>
  </si>
  <si>
    <t>53,90</t>
  </si>
  <si>
    <t xml:space="preserve">Иминов Эркин </t>
  </si>
  <si>
    <t>Морозова Ирина</t>
  </si>
  <si>
    <t>Open (24.01.1987)/29</t>
  </si>
  <si>
    <t>54,90</t>
  </si>
  <si>
    <t xml:space="preserve">Валуйки/Белгородская область </t>
  </si>
  <si>
    <t>Пантюхова Татьяна</t>
  </si>
  <si>
    <t>Open (07.07.1992)/24</t>
  </si>
  <si>
    <t>54,70</t>
  </si>
  <si>
    <t xml:space="preserve">Яковлев Дмитрий </t>
  </si>
  <si>
    <t>Шаруева Раиса</t>
  </si>
  <si>
    <t>Open (01.07.1983)/33</t>
  </si>
  <si>
    <t>59,60</t>
  </si>
  <si>
    <t>Волкова Татьяна</t>
  </si>
  <si>
    <t>Open (08.12.1979)/36</t>
  </si>
  <si>
    <t>59,30</t>
  </si>
  <si>
    <t>Панасенко Алина</t>
  </si>
  <si>
    <t>Sub Junior 17-19 (18.03.1998)/18</t>
  </si>
  <si>
    <t>65,90</t>
  </si>
  <si>
    <t>Заховаева Анастасия</t>
  </si>
  <si>
    <t>Junior (22.03.1995)/21</t>
  </si>
  <si>
    <t>62,40</t>
  </si>
  <si>
    <t>Малецкая Светлана</t>
  </si>
  <si>
    <t>Open (04.06.1983)/33</t>
  </si>
  <si>
    <t>67,00</t>
  </si>
  <si>
    <t xml:space="preserve">Ставрополь/Ставропольский край </t>
  </si>
  <si>
    <t xml:space="preserve">Милостной Станислав </t>
  </si>
  <si>
    <t>Жемеря Татьяна</t>
  </si>
  <si>
    <t>Open (22.09.1975)/41</t>
  </si>
  <si>
    <t>Open (22.03.1995)/21</t>
  </si>
  <si>
    <t>Master 40-49 (22.09.1975)/41</t>
  </si>
  <si>
    <t>Савина Галина</t>
  </si>
  <si>
    <t>Master 40-49 (03.06.1975)/41</t>
  </si>
  <si>
    <t xml:space="preserve">Московский/Московская область </t>
  </si>
  <si>
    <t>Прокопова Елена</t>
  </si>
  <si>
    <t>Master 50-59 (07.03.1966)/50</t>
  </si>
  <si>
    <t>65,80</t>
  </si>
  <si>
    <t xml:space="preserve">Прокопов Михаил </t>
  </si>
  <si>
    <t>Лайзан Мария</t>
  </si>
  <si>
    <t>Open (30.03.1990)/26</t>
  </si>
  <si>
    <t>74,00</t>
  </si>
  <si>
    <t>Докучаева Людмила</t>
  </si>
  <si>
    <t>Open (20.01.1977)/39</t>
  </si>
  <si>
    <t>71,60</t>
  </si>
  <si>
    <t>Полетаева Светлана</t>
  </si>
  <si>
    <t>Open (30.04.1977)/39</t>
  </si>
  <si>
    <t xml:space="preserve">Ивдель/Свердловская область </t>
  </si>
  <si>
    <t xml:space="preserve">Полетаев Владимир </t>
  </si>
  <si>
    <t>Дубровин Григорий</t>
  </si>
  <si>
    <t>Sub Junior 14-16 (18.05.2002)/14</t>
  </si>
  <si>
    <t>83,0</t>
  </si>
  <si>
    <t xml:space="preserve">Дубровин Михаил </t>
  </si>
  <si>
    <t>Тумасянц Анатолий</t>
  </si>
  <si>
    <t>Sub Junior 14-16 (03.01.2000)/16</t>
  </si>
  <si>
    <t>Поляков Максим</t>
  </si>
  <si>
    <t>Sub Junior 14-16 (24.05.2000)/16</t>
  </si>
  <si>
    <t xml:space="preserve">Иванченков Дмитрий </t>
  </si>
  <si>
    <t>Андриасян Айк</t>
  </si>
  <si>
    <t>Sub Junior 14-16 (22.02.2001)/15</t>
  </si>
  <si>
    <t>Добродеев Владислав</t>
  </si>
  <si>
    <t>Sub Junior 17-19 (27.03.1999)/17</t>
  </si>
  <si>
    <t>Нечаев Евгений</t>
  </si>
  <si>
    <t>Junior (19.09.1993)/23</t>
  </si>
  <si>
    <t xml:space="preserve">Мценск/Орловская область </t>
  </si>
  <si>
    <t>Савлохов Чермен</t>
  </si>
  <si>
    <t>Junior (16.09.1994)/22</t>
  </si>
  <si>
    <t>64,20</t>
  </si>
  <si>
    <t>Самохвалов Никита</t>
  </si>
  <si>
    <t>Open (11.08.1988)/28</t>
  </si>
  <si>
    <t>Лученков Иван</t>
  </si>
  <si>
    <t>Open (30.03.1991)/25</t>
  </si>
  <si>
    <t>Николаев Александр</t>
  </si>
  <si>
    <t>Open (06.04.1988)/28</t>
  </si>
  <si>
    <t>67,10</t>
  </si>
  <si>
    <t xml:space="preserve">Старый Оскол/Белгородская область </t>
  </si>
  <si>
    <t>Сумцов Леонид</t>
  </si>
  <si>
    <t>Open (30.10.1969)/47</t>
  </si>
  <si>
    <t>66,40</t>
  </si>
  <si>
    <t xml:space="preserve">Ясногорск/Тульская область </t>
  </si>
  <si>
    <t>Master 40-49 (30.10.1969)/47</t>
  </si>
  <si>
    <t>Мисютинский Виктор</t>
  </si>
  <si>
    <t>Sub Junior 17-19 (26.01.1999)/17</t>
  </si>
  <si>
    <t xml:space="preserve">Биробиджан/Еврейская АО </t>
  </si>
  <si>
    <t xml:space="preserve">Мисютинский Виталий </t>
  </si>
  <si>
    <t>Курбанбаев Роман</t>
  </si>
  <si>
    <t>Sub Junior 17-19 (19.04.1998)/18</t>
  </si>
  <si>
    <t>71,30</t>
  </si>
  <si>
    <t>Чугуров Сергей</t>
  </si>
  <si>
    <t>Junior (22.06.1993)/23</t>
  </si>
  <si>
    <t>Попов Андрей</t>
  </si>
  <si>
    <t>Junior (24.06.1993)/23</t>
  </si>
  <si>
    <t>Бронников Михаил</t>
  </si>
  <si>
    <t>Junior (21.05.1993)/23</t>
  </si>
  <si>
    <t>74,90</t>
  </si>
  <si>
    <t>Овешников Ярослав</t>
  </si>
  <si>
    <t>Junior (04.02.1993)/23</t>
  </si>
  <si>
    <t>73,20</t>
  </si>
  <si>
    <t xml:space="preserve">Орёл/Орловская область </t>
  </si>
  <si>
    <t>Богданов Максим</t>
  </si>
  <si>
    <t>Open (12.10.1992)/24</t>
  </si>
  <si>
    <t>Соков Денис</t>
  </si>
  <si>
    <t>Open (06.12.1985)/30</t>
  </si>
  <si>
    <t xml:space="preserve">Кострома/Костромская область </t>
  </si>
  <si>
    <t>Чернявский Тимофей</t>
  </si>
  <si>
    <t>Open (08.09.1985)/31</t>
  </si>
  <si>
    <t>Смуров Андрей</t>
  </si>
  <si>
    <t>Open (23.04.1990)/26</t>
  </si>
  <si>
    <t>Минасян Артур</t>
  </si>
  <si>
    <t>Open (09.02.1988)/28</t>
  </si>
  <si>
    <t xml:space="preserve">Курицин Матвей </t>
  </si>
  <si>
    <t>Александров Александр</t>
  </si>
  <si>
    <t>Open (19.07.1979)/37</t>
  </si>
  <si>
    <t>73,40</t>
  </si>
  <si>
    <t xml:space="preserve">Змеиногорск/Алтайский край </t>
  </si>
  <si>
    <t>Лепехов Алексей</t>
  </si>
  <si>
    <t>Open (09.08.1983)/33</t>
  </si>
  <si>
    <t>73,70</t>
  </si>
  <si>
    <t>Амелин Игорь</t>
  </si>
  <si>
    <t>Master 40-49 (22.07.1975)/41</t>
  </si>
  <si>
    <t xml:space="preserve">Шенкурск/Архангельская область </t>
  </si>
  <si>
    <t>Рудычев Сергей</t>
  </si>
  <si>
    <t>Master 40-49 (08.06.1974)/42</t>
  </si>
  <si>
    <t>71,00</t>
  </si>
  <si>
    <t xml:space="preserve">Татаркин Александр </t>
  </si>
  <si>
    <t>Сачков Андрей</t>
  </si>
  <si>
    <t>Master 40-49 (29.07.1976)/40</t>
  </si>
  <si>
    <t>Винокуров Олег</t>
  </si>
  <si>
    <t>Master 50-59 (10.05.1966)/50</t>
  </si>
  <si>
    <t>74,40</t>
  </si>
  <si>
    <t xml:space="preserve">Самара/Самарская область </t>
  </si>
  <si>
    <t>Татаркин Александр</t>
  </si>
  <si>
    <t>Master 60-69 (16.08.1955)/61</t>
  </si>
  <si>
    <t>Самодуров Сергей</t>
  </si>
  <si>
    <t>Sub Junior 14-16 (07.05.2000)/16</t>
  </si>
  <si>
    <t>77,70</t>
  </si>
  <si>
    <t xml:space="preserve">Буганов.С.В </t>
  </si>
  <si>
    <t>Дубровин Георгий</t>
  </si>
  <si>
    <t>Sub Junior 17-19 (12.11.1997)/19</t>
  </si>
  <si>
    <t>77,90</t>
  </si>
  <si>
    <t>Кулаков Олег</t>
  </si>
  <si>
    <t>Junior (13.08.1994)/22</t>
  </si>
  <si>
    <t>80,30</t>
  </si>
  <si>
    <t xml:space="preserve">Хамхоев Ибрагим </t>
  </si>
  <si>
    <t>Цой Вячеслав</t>
  </si>
  <si>
    <t>Open (18.09.1984)/32</t>
  </si>
  <si>
    <t>Мерешков Ахмед</t>
  </si>
  <si>
    <t>Open (09.04.1989)/27</t>
  </si>
  <si>
    <t>81,30</t>
  </si>
  <si>
    <t>Ляпунов Денис</t>
  </si>
  <si>
    <t>Open (19.08.1986)/30</t>
  </si>
  <si>
    <t>81,00</t>
  </si>
  <si>
    <t xml:space="preserve">Владимир/Владимирская область </t>
  </si>
  <si>
    <t>Литвиненко Юрий</t>
  </si>
  <si>
    <t>Open (24.08.1989)/27</t>
  </si>
  <si>
    <t>Исмаилов Масимжан</t>
  </si>
  <si>
    <t>Open (29.06.1970)/46</t>
  </si>
  <si>
    <t>Церунян Артем</t>
  </si>
  <si>
    <t>Open (23.01.1984)/32</t>
  </si>
  <si>
    <t>79,90</t>
  </si>
  <si>
    <t xml:space="preserve">Зарайск/Московская область </t>
  </si>
  <si>
    <t>Шилкин Олег</t>
  </si>
  <si>
    <t>Open (04.04.1987)/29</t>
  </si>
  <si>
    <t>80,60</t>
  </si>
  <si>
    <t>Крупин Станислав</t>
  </si>
  <si>
    <t>Open (19.10.1986)/30</t>
  </si>
  <si>
    <t>76,00</t>
  </si>
  <si>
    <t>Валуевич Максим</t>
  </si>
  <si>
    <t>Open (23.09.1982)/34</t>
  </si>
  <si>
    <t>81,40</t>
  </si>
  <si>
    <t>Орехов Иван</t>
  </si>
  <si>
    <t>Open (11.07.1987)/29</t>
  </si>
  <si>
    <t>81,20</t>
  </si>
  <si>
    <t xml:space="preserve">Чернявский Тимофей </t>
  </si>
  <si>
    <t>Горковенко Ярослав</t>
  </si>
  <si>
    <t>Open (14.01.1984)/32</t>
  </si>
  <si>
    <t>80,40</t>
  </si>
  <si>
    <t>112,5</t>
  </si>
  <si>
    <t>Кикахин Кирилл</t>
  </si>
  <si>
    <t>Open (30.11.1987)/28</t>
  </si>
  <si>
    <t>79,00</t>
  </si>
  <si>
    <t xml:space="preserve">Владивосток/Приморский край </t>
  </si>
  <si>
    <t xml:space="preserve">Даниелян Сергей, Церунян Артем </t>
  </si>
  <si>
    <t>Шаманаев Павел</t>
  </si>
  <si>
    <t>Open (17.05.1988)/28</t>
  </si>
  <si>
    <t>Тыртышный Андрей</t>
  </si>
  <si>
    <t>Open (22.05.1982)/34</t>
  </si>
  <si>
    <t>Кривякин Дмитрий</t>
  </si>
  <si>
    <t>Open (28.01.1982)/34</t>
  </si>
  <si>
    <t xml:space="preserve">Братск/Иркутская область </t>
  </si>
  <si>
    <t xml:space="preserve">Груздев Сергей </t>
  </si>
  <si>
    <t>Сотников Эдуард</t>
  </si>
  <si>
    <t>Master 40-49 (12.09.1967)/49</t>
  </si>
  <si>
    <t>Master 40-49 (29.06.1970)/46</t>
  </si>
  <si>
    <t>Сытник Александр</t>
  </si>
  <si>
    <t>Master 40-49 (27.01.1976)/40</t>
  </si>
  <si>
    <t>Ковалев Игорь</t>
  </si>
  <si>
    <t>Master 50-59 (08.04.1957)/59</t>
  </si>
  <si>
    <t>78,30</t>
  </si>
  <si>
    <t>Федотов Виктор</t>
  </si>
  <si>
    <t>Sub Junior 14-16 (21.01.2002)/14</t>
  </si>
  <si>
    <t>87,80</t>
  </si>
  <si>
    <t xml:space="preserve">Раменское/Московская область </t>
  </si>
  <si>
    <t xml:space="preserve">Каратчеев Николай </t>
  </si>
  <si>
    <t>Шашков Алексей</t>
  </si>
  <si>
    <t>Sub Junior 17-19 (03.01.1997)/19</t>
  </si>
  <si>
    <t>Евтеев Алексей</t>
  </si>
  <si>
    <t>Junior (08.08.1994)/22</t>
  </si>
  <si>
    <t>Евстигнеев Александр</t>
  </si>
  <si>
    <t>Junior (05.12.1994)/21</t>
  </si>
  <si>
    <t>88,20</t>
  </si>
  <si>
    <t>Свидин Андрей</t>
  </si>
  <si>
    <t>Open (01.02.1980)/36</t>
  </si>
  <si>
    <t xml:space="preserve">Краснодар/Краснодарский край </t>
  </si>
  <si>
    <t>195,5</t>
  </si>
  <si>
    <t>Петров Дмитрий</t>
  </si>
  <si>
    <t>Open (29.01.1986)/30</t>
  </si>
  <si>
    <t xml:space="preserve">Шумилов Дмитрий </t>
  </si>
  <si>
    <t>Романович Денис</t>
  </si>
  <si>
    <t>Open (15.06.1988)/28</t>
  </si>
  <si>
    <t xml:space="preserve">пгт Яшкино/Кемеровская область </t>
  </si>
  <si>
    <t>Трунов Олег</t>
  </si>
  <si>
    <t>Open (08.08.1988)/28</t>
  </si>
  <si>
    <t>88,90</t>
  </si>
  <si>
    <t>Шуралев Александр</t>
  </si>
  <si>
    <t>Open (13.07.1975)/41</t>
  </si>
  <si>
    <t xml:space="preserve">Воскресенск/Московская область </t>
  </si>
  <si>
    <t>Гусельников Дмитрий</t>
  </si>
  <si>
    <t>Open (26.03.1988)/28</t>
  </si>
  <si>
    <t>Швецов Евгений</t>
  </si>
  <si>
    <t>Open (20.12.1974)/41</t>
  </si>
  <si>
    <t xml:space="preserve">Белоусов Пётр </t>
  </si>
  <si>
    <t>Литвин Аркадий</t>
  </si>
  <si>
    <t>Open (08.07.1985)/31</t>
  </si>
  <si>
    <t>Шабанов Максим</t>
  </si>
  <si>
    <t>Open (02.10.1986)/30</t>
  </si>
  <si>
    <t>86,90</t>
  </si>
  <si>
    <t>Ушаков Сергей</t>
  </si>
  <si>
    <t>Open (10.06.1989)/27</t>
  </si>
  <si>
    <t xml:space="preserve">Бит-Юхан </t>
  </si>
  <si>
    <t>Гражданцев Дмитрий</t>
  </si>
  <si>
    <t>Open (16.04.1987)/29</t>
  </si>
  <si>
    <t>Соколов Никита</t>
  </si>
  <si>
    <t>Open (13.07.1985)/31</t>
  </si>
  <si>
    <t>Давыдов Александр</t>
  </si>
  <si>
    <t>Open (26.04.1990)/26</t>
  </si>
  <si>
    <t>84,30</t>
  </si>
  <si>
    <t>Соколовский Андрей</t>
  </si>
  <si>
    <t>Open (19.09.1990)/26</t>
  </si>
  <si>
    <t>Master 40-49 (20.12.1974)/41</t>
  </si>
  <si>
    <t>Тимофеев Дмитрий</t>
  </si>
  <si>
    <t>Master 40-49 (29.08.1976)/40</t>
  </si>
  <si>
    <t>89,80</t>
  </si>
  <si>
    <t>Кручинин Юрий</t>
  </si>
  <si>
    <t>Master 40-49 (30.06.1971)/45</t>
  </si>
  <si>
    <t>Кузнецов Александр</t>
  </si>
  <si>
    <t>Sub Junior 17-19 (18.11.1996)/19</t>
  </si>
  <si>
    <t>93,70</t>
  </si>
  <si>
    <t xml:space="preserve">Тамбов/Тамбовская область </t>
  </si>
  <si>
    <t>Карманов Владислав</t>
  </si>
  <si>
    <t>Sub Junior 17-19 (23.03.1998)/18</t>
  </si>
  <si>
    <t xml:space="preserve">Дзержинск/Нижегородская область </t>
  </si>
  <si>
    <t>Милованов Евгений</t>
  </si>
  <si>
    <t>Junior (03.06.1993)/23</t>
  </si>
  <si>
    <t>Калягин Александр</t>
  </si>
  <si>
    <t>Open (12.06.1983)/33</t>
  </si>
  <si>
    <t>Волошин Евгений</t>
  </si>
  <si>
    <t>Open (17.08.1982)/34</t>
  </si>
  <si>
    <t>98,70</t>
  </si>
  <si>
    <t xml:space="preserve">Онега/Архангельская область </t>
  </si>
  <si>
    <t>Шалаев Евгений</t>
  </si>
  <si>
    <t>Open (25.01.1986)/30</t>
  </si>
  <si>
    <t>Ульзутуев Петр</t>
  </si>
  <si>
    <t>Open (28.05.1987)/29</t>
  </si>
  <si>
    <t>97,50</t>
  </si>
  <si>
    <t>Шевалдин Максим</t>
  </si>
  <si>
    <t>Open (20.12.1984)/31</t>
  </si>
  <si>
    <t xml:space="preserve">Люберцы/Московская область </t>
  </si>
  <si>
    <t>Коленько Алексей</t>
  </si>
  <si>
    <t>Open (13.12.1990)/25</t>
  </si>
  <si>
    <t xml:space="preserve">Унеча/Брянская область </t>
  </si>
  <si>
    <t xml:space="preserve">Григорий Юдин </t>
  </si>
  <si>
    <t>Родионов Иван</t>
  </si>
  <si>
    <t>Open (28.05.1986)/30</t>
  </si>
  <si>
    <t>Синчугов Олег</t>
  </si>
  <si>
    <t>Open (25.08.1989)/27</t>
  </si>
  <si>
    <t>99,50</t>
  </si>
  <si>
    <t>Прокопенко Максим</t>
  </si>
  <si>
    <t>Open (06.07.1988)/28</t>
  </si>
  <si>
    <t>Михаленко Евгений</t>
  </si>
  <si>
    <t>Open (13.02.1984)/32</t>
  </si>
  <si>
    <t>Евдокимов Иван</t>
  </si>
  <si>
    <t>Open (24.02.1964)/52</t>
  </si>
  <si>
    <t>Григорьев Андрей</t>
  </si>
  <si>
    <t>Master 40-49 (05.03.1975)/41</t>
  </si>
  <si>
    <t xml:space="preserve">Химки/Московская область </t>
  </si>
  <si>
    <t xml:space="preserve">Григорьева Татьяна </t>
  </si>
  <si>
    <t>Бит-Юхан Александр</t>
  </si>
  <si>
    <t>Master 40-49 (21.06.1969)/47</t>
  </si>
  <si>
    <t>99,10</t>
  </si>
  <si>
    <t>Ладченко Сергей</t>
  </si>
  <si>
    <t>Master 40-49 (22.12.1972)/43</t>
  </si>
  <si>
    <t>Алексеев Владимир</t>
  </si>
  <si>
    <t>Master 50-59 (21.05.1963)/53</t>
  </si>
  <si>
    <t>Акентьев Валерий</t>
  </si>
  <si>
    <t>Master 50-59 (13.03.1958)/58</t>
  </si>
  <si>
    <t>Бугаенко Николай</t>
  </si>
  <si>
    <t>Sub Junior 17-19 (24.01.1997)/19</t>
  </si>
  <si>
    <t>100,40</t>
  </si>
  <si>
    <t xml:space="preserve">Белогорск/Амурская область </t>
  </si>
  <si>
    <t>Бухарин Александр</t>
  </si>
  <si>
    <t>Sub Junior 17-19 (22.02.1999)/17</t>
  </si>
  <si>
    <t>105,00</t>
  </si>
  <si>
    <t xml:space="preserve">Бухарин Сергей </t>
  </si>
  <si>
    <t>Хамхоев Ибрагим</t>
  </si>
  <si>
    <t>Open (25.02.1985)/31</t>
  </si>
  <si>
    <t>104,00</t>
  </si>
  <si>
    <t>Мусаев Ахмед</t>
  </si>
  <si>
    <t>Open (10.10.1980)/36</t>
  </si>
  <si>
    <t>105,40</t>
  </si>
  <si>
    <t>Кибилдс Андрис</t>
  </si>
  <si>
    <t>Open (01.11.1983)/33</t>
  </si>
  <si>
    <t>Столяров Алексей</t>
  </si>
  <si>
    <t>106,50</t>
  </si>
  <si>
    <t xml:space="preserve">Хотьково/Московская область </t>
  </si>
  <si>
    <t>Кузьмин Дмитрий</t>
  </si>
  <si>
    <t>Open (05.10.1984)/32</t>
  </si>
  <si>
    <t xml:space="preserve">самостоятелно </t>
  </si>
  <si>
    <t>Тарасов Дмитрий</t>
  </si>
  <si>
    <t>Open (22.03.1986)/30</t>
  </si>
  <si>
    <t>Агарков Сергей</t>
  </si>
  <si>
    <t>Open (30.03.1981)/35</t>
  </si>
  <si>
    <t>103,60</t>
  </si>
  <si>
    <t>Яковлев Артем</t>
  </si>
  <si>
    <t>Open (06.12.1979)/36</t>
  </si>
  <si>
    <t>108,80</t>
  </si>
  <si>
    <t xml:space="preserve">Богданов Максим </t>
  </si>
  <si>
    <t>Нестеренко Александр</t>
  </si>
  <si>
    <t>Open (07.10.1984)/32</t>
  </si>
  <si>
    <t>104,20</t>
  </si>
  <si>
    <t>Казаков Андрей</t>
  </si>
  <si>
    <t>107,80</t>
  </si>
  <si>
    <t xml:space="preserve">Нечаев Евгений </t>
  </si>
  <si>
    <t>Тяжев Павел</t>
  </si>
  <si>
    <t>Open (04.02.1985)/31</t>
  </si>
  <si>
    <t>107,20</t>
  </si>
  <si>
    <t>Кречин Геннадий</t>
  </si>
  <si>
    <t>Master 40-49 (11.03.1974)/42</t>
  </si>
  <si>
    <t>105,10</t>
  </si>
  <si>
    <t>Катаев Руслан</t>
  </si>
  <si>
    <t>Master 40-49 (08.04.1969)/47</t>
  </si>
  <si>
    <t>Лукьянов Андрей</t>
  </si>
  <si>
    <t>Master 40-49 (29.01.1969)/47</t>
  </si>
  <si>
    <t>108,00</t>
  </si>
  <si>
    <t xml:space="preserve">Россошь/Воронежская область </t>
  </si>
  <si>
    <t>Романов Александр</t>
  </si>
  <si>
    <t>Master 40-49 (02.02.1973)/43</t>
  </si>
  <si>
    <t>106,90</t>
  </si>
  <si>
    <t xml:space="preserve">Красногорск/Московская область </t>
  </si>
  <si>
    <t>Куротченко Игорь</t>
  </si>
  <si>
    <t>Master 50-59 (20.03.1962)/54</t>
  </si>
  <si>
    <t>109,10</t>
  </si>
  <si>
    <t xml:space="preserve">Никитенко Людмила </t>
  </si>
  <si>
    <t>Джайлаубаев Марат</t>
  </si>
  <si>
    <t>Master 60-69 (09.05.1956)/60</t>
  </si>
  <si>
    <t>101,90</t>
  </si>
  <si>
    <t>Грабовой Борис</t>
  </si>
  <si>
    <t>Master 60-69 (23.01.1956)/60</t>
  </si>
  <si>
    <t>103,50</t>
  </si>
  <si>
    <t>Хазиев Эргаш</t>
  </si>
  <si>
    <t>Open (26.03.1991)/25</t>
  </si>
  <si>
    <t>121,00</t>
  </si>
  <si>
    <t>Антух Евгений</t>
  </si>
  <si>
    <t>Open (13.10.1972)/44</t>
  </si>
  <si>
    <t>118,00</t>
  </si>
  <si>
    <t xml:space="preserve">Мациевский Владимир </t>
  </si>
  <si>
    <t>Авдулов Евгений</t>
  </si>
  <si>
    <t>Open (04.11.1983)/33</t>
  </si>
  <si>
    <t>118,30</t>
  </si>
  <si>
    <t xml:space="preserve">Суздаль/Владимирская область </t>
  </si>
  <si>
    <t>Джураев Отабек</t>
  </si>
  <si>
    <t>Open (26.07.1985)/31</t>
  </si>
  <si>
    <t>112,40</t>
  </si>
  <si>
    <t>Богданов Артём</t>
  </si>
  <si>
    <t>Open (07.03.1987)/29</t>
  </si>
  <si>
    <t>119,30</t>
  </si>
  <si>
    <t xml:space="preserve">г. Сосногорск/Республика Коми </t>
  </si>
  <si>
    <t>Master 40-49 (13.10.1972)/44</t>
  </si>
  <si>
    <t>Васильченко Александр</t>
  </si>
  <si>
    <t>Master 50-59 (19.03.1966)/50</t>
  </si>
  <si>
    <t>112,80</t>
  </si>
  <si>
    <t>Чубаров Владимир</t>
  </si>
  <si>
    <t>Master 50-59 (03.04.1964)/52</t>
  </si>
  <si>
    <t>Зуйков Евгений</t>
  </si>
  <si>
    <t>Junior (10.05.1994)/22</t>
  </si>
  <si>
    <t>131,30</t>
  </si>
  <si>
    <t>Храмцов Андрей</t>
  </si>
  <si>
    <t>128,40</t>
  </si>
  <si>
    <t>Филоненко Сергей</t>
  </si>
  <si>
    <t>Open (11.11.1965)/51</t>
  </si>
  <si>
    <t>125,70</t>
  </si>
  <si>
    <t>Шония Алексей</t>
  </si>
  <si>
    <t>Master 40-49 (20.09.1970)/46</t>
  </si>
  <si>
    <t>129,40</t>
  </si>
  <si>
    <t>Master 50-59 (11.11.1965)/51</t>
  </si>
  <si>
    <t>Зверев Денис</t>
  </si>
  <si>
    <t>Open (26.09.1987)/29</t>
  </si>
  <si>
    <t>164,00</t>
  </si>
  <si>
    <t>81,4793</t>
  </si>
  <si>
    <t>77,8875</t>
  </si>
  <si>
    <t>63,1750</t>
  </si>
  <si>
    <t>81,1350</t>
  </si>
  <si>
    <t>66,9350</t>
  </si>
  <si>
    <t>64,7130</t>
  </si>
  <si>
    <t>64,6250</t>
  </si>
  <si>
    <t>99,2620</t>
  </si>
  <si>
    <t>95,8700</t>
  </si>
  <si>
    <t>95,5208</t>
  </si>
  <si>
    <t>89,7838</t>
  </si>
  <si>
    <t>87,8917</t>
  </si>
  <si>
    <t>86,6375</t>
  </si>
  <si>
    <t>83,0800</t>
  </si>
  <si>
    <t>81,2508</t>
  </si>
  <si>
    <t>73,5185</t>
  </si>
  <si>
    <t>62,6100</t>
  </si>
  <si>
    <t xml:space="preserve">90+ </t>
  </si>
  <si>
    <t>61,5600</t>
  </si>
  <si>
    <t>60,0570</t>
  </si>
  <si>
    <t>83,4954</t>
  </si>
  <si>
    <t>66,6299</t>
  </si>
  <si>
    <t>63,5502</t>
  </si>
  <si>
    <t>62,0455</t>
  </si>
  <si>
    <t>56,7936</t>
  </si>
  <si>
    <t>107,9850</t>
  </si>
  <si>
    <t>107,6475</t>
  </si>
  <si>
    <t>106,3300</t>
  </si>
  <si>
    <t>104,5800</t>
  </si>
  <si>
    <t>96,3750</t>
  </si>
  <si>
    <t>90,0875</t>
  </si>
  <si>
    <t>88,5370</t>
  </si>
  <si>
    <t>86,8325</t>
  </si>
  <si>
    <t>82,5</t>
  </si>
  <si>
    <t>82,6320</t>
  </si>
  <si>
    <t>80,9900</t>
  </si>
  <si>
    <t>73,0485</t>
  </si>
  <si>
    <t>70,2360</t>
  </si>
  <si>
    <t>64,6700</t>
  </si>
  <si>
    <t>62,0480</t>
  </si>
  <si>
    <t>117,2110</t>
  </si>
  <si>
    <t>114,0843</t>
  </si>
  <si>
    <t>113,2897</t>
  </si>
  <si>
    <t>111,7900</t>
  </si>
  <si>
    <t>110,4530</t>
  </si>
  <si>
    <t>110,0750</t>
  </si>
  <si>
    <t>107,2740</t>
  </si>
  <si>
    <t>102,2060</t>
  </si>
  <si>
    <t>101,6310</t>
  </si>
  <si>
    <t>100,4375</t>
  </si>
  <si>
    <t>100,1330</t>
  </si>
  <si>
    <t>97,8615</t>
  </si>
  <si>
    <t>85,4757</t>
  </si>
  <si>
    <t>143,9040</t>
  </si>
  <si>
    <t>138,4150</t>
  </si>
  <si>
    <t>135,7560</t>
  </si>
  <si>
    <t>134,8430</t>
  </si>
  <si>
    <t>128,4210</t>
  </si>
  <si>
    <t>127,5525</t>
  </si>
  <si>
    <t>125,3460</t>
  </si>
  <si>
    <t>123,6465</t>
  </si>
  <si>
    <t>122,6758</t>
  </si>
  <si>
    <t>122,3600</t>
  </si>
  <si>
    <t>122,3315</t>
  </si>
  <si>
    <t>121,3630</t>
  </si>
  <si>
    <t>121,2960</t>
  </si>
  <si>
    <t>120,2385</t>
  </si>
  <si>
    <t>118,7885</t>
  </si>
  <si>
    <t>118,1235</t>
  </si>
  <si>
    <t>117,8680</t>
  </si>
  <si>
    <t>116,6980</t>
  </si>
  <si>
    <t>116,6860</t>
  </si>
  <si>
    <t>115,6320</t>
  </si>
  <si>
    <t>113,8540</t>
  </si>
  <si>
    <t>113,7775</t>
  </si>
  <si>
    <t>113,3540</t>
  </si>
  <si>
    <t>112,9740</t>
  </si>
  <si>
    <t>136,2892</t>
  </si>
  <si>
    <t>135,6434</t>
  </si>
  <si>
    <t>130,8258</t>
  </si>
  <si>
    <t>125,9046</t>
  </si>
  <si>
    <t>122,4510</t>
  </si>
  <si>
    <t>121,1216</t>
  </si>
  <si>
    <t>119,6383</t>
  </si>
  <si>
    <t>117,7771</t>
  </si>
  <si>
    <t>117,6284</t>
  </si>
  <si>
    <t>117,5501</t>
  </si>
  <si>
    <t>116,7121</t>
  </si>
  <si>
    <t>116,2122</t>
  </si>
  <si>
    <t>113,0380</t>
  </si>
  <si>
    <t>112,4991</t>
  </si>
  <si>
    <t>112,0653</t>
  </si>
  <si>
    <t>111,4804</t>
  </si>
  <si>
    <t>110,4893</t>
  </si>
  <si>
    <t>109,8197</t>
  </si>
  <si>
    <t>107,8891</t>
  </si>
  <si>
    <t>107,1099</t>
  </si>
  <si>
    <t>106,0451</t>
  </si>
  <si>
    <t>105,4515</t>
  </si>
  <si>
    <t>105,2691</t>
  </si>
  <si>
    <t>103,7956</t>
  </si>
  <si>
    <t>Хахулина Диана</t>
  </si>
  <si>
    <t>43,25</t>
  </si>
  <si>
    <t>Тюленева Вероника</t>
  </si>
  <si>
    <t>Junior (25.11.1992)/23</t>
  </si>
  <si>
    <t>50,90</t>
  </si>
  <si>
    <t xml:space="preserve">Одинцово/Московская область </t>
  </si>
  <si>
    <t>Подольская Кристина</t>
  </si>
  <si>
    <t>Open (09.05.1990)/26</t>
  </si>
  <si>
    <t>55,10</t>
  </si>
  <si>
    <t>Тихонова Татьяна</t>
  </si>
  <si>
    <t>Sub Junior 17-19 (10.10.1997)/19</t>
  </si>
  <si>
    <t xml:space="preserve">Зайцев Вадим </t>
  </si>
  <si>
    <t>Маркина Виктория</t>
  </si>
  <si>
    <t>Sub Junior 17-19 (16.12.1997)/18</t>
  </si>
  <si>
    <t>Ширяева Анастасия</t>
  </si>
  <si>
    <t>Sub Junior 17-19 (30.08.1998)/18</t>
  </si>
  <si>
    <t>66,70</t>
  </si>
  <si>
    <t>Нефедова Юлия</t>
  </si>
  <si>
    <t>Open (21.10.1985)/31</t>
  </si>
  <si>
    <t>66,30</t>
  </si>
  <si>
    <t>Макарова Юлия</t>
  </si>
  <si>
    <t>Master 40-49 (30.06.1969)/47</t>
  </si>
  <si>
    <t>66,10</t>
  </si>
  <si>
    <t>Мусаева Динара</t>
  </si>
  <si>
    <t>Open (20.07.1980)/36</t>
  </si>
  <si>
    <t xml:space="preserve">Мусаев Ахмед </t>
  </si>
  <si>
    <t>Корсаков Кирилл</t>
  </si>
  <si>
    <t>Sub Junior 17-19 (29.09.1998)/18</t>
  </si>
  <si>
    <t>Власов Павел</t>
  </si>
  <si>
    <t>Open (29.09.1987)/29</t>
  </si>
  <si>
    <t xml:space="preserve">Пермь/Пермский край </t>
  </si>
  <si>
    <t xml:space="preserve">Степанец Алексей </t>
  </si>
  <si>
    <t>Сухобок Максим</t>
  </si>
  <si>
    <t>Master 50-59 (01.01.1965)/51</t>
  </si>
  <si>
    <t>65,70</t>
  </si>
  <si>
    <t>Тремаскин Никита</t>
  </si>
  <si>
    <t>Sub Junior 17-19 (15.07.1999)/17</t>
  </si>
  <si>
    <t>71,80</t>
  </si>
  <si>
    <t xml:space="preserve">Шатура/Московская область </t>
  </si>
  <si>
    <t>Степанец Алексей</t>
  </si>
  <si>
    <t>Open (11.06.1991)/25</t>
  </si>
  <si>
    <t>Хилимончик Руслан</t>
  </si>
  <si>
    <t>Master 40-49 (11.09.1976)/40</t>
  </si>
  <si>
    <t>Никитин Сергей</t>
  </si>
  <si>
    <t>Мурыч Вадим</t>
  </si>
  <si>
    <t>Sub Junior 17-19 (12.03.1998)/18</t>
  </si>
  <si>
    <t>78,00</t>
  </si>
  <si>
    <t>Сазонов Кирилл</t>
  </si>
  <si>
    <t>Junior (26.09.1994)/22</t>
  </si>
  <si>
    <t>80,50</t>
  </si>
  <si>
    <t xml:space="preserve">Калуга/Калужская область </t>
  </si>
  <si>
    <t>Жигулин Александр</t>
  </si>
  <si>
    <t>Open (27.12.1986)/29</t>
  </si>
  <si>
    <t xml:space="preserve">Нижний Ломов/Пензенская область </t>
  </si>
  <si>
    <t>Завьялов Роман</t>
  </si>
  <si>
    <t>Open (18.12.1979)/36</t>
  </si>
  <si>
    <t>78,10</t>
  </si>
  <si>
    <t>Ловягин Сергей</t>
  </si>
  <si>
    <t>Open (30.08.1984)/32</t>
  </si>
  <si>
    <t xml:space="preserve">Чехов/Московская область </t>
  </si>
  <si>
    <t>Евсеев Сергей</t>
  </si>
  <si>
    <t>Open (09.10.1990)/26</t>
  </si>
  <si>
    <t>Лосученко Александр</t>
  </si>
  <si>
    <t>Master 60-69 (06.12.1955)/60</t>
  </si>
  <si>
    <t>Киреев Петр</t>
  </si>
  <si>
    <t>Junior (05.02.1996)/20</t>
  </si>
  <si>
    <t>85,60</t>
  </si>
  <si>
    <t>Проценко Павел</t>
  </si>
  <si>
    <t>Junior (11.05.1994)/22</t>
  </si>
  <si>
    <t>84,50</t>
  </si>
  <si>
    <t>Илясов Антон</t>
  </si>
  <si>
    <t>Open (25.11.1988)/27</t>
  </si>
  <si>
    <t>320,0</t>
  </si>
  <si>
    <t>Матвеев Максим</t>
  </si>
  <si>
    <t>Open (10.08.1981)/35</t>
  </si>
  <si>
    <t>85,80</t>
  </si>
  <si>
    <t xml:space="preserve">Чкаловск/Нижегородская область </t>
  </si>
  <si>
    <t>Желудев Виталий</t>
  </si>
  <si>
    <t>Open (09.02.1985)/31</t>
  </si>
  <si>
    <t>87,10</t>
  </si>
  <si>
    <t>Крят Игорь</t>
  </si>
  <si>
    <t>Open (31.05.1988)/28</t>
  </si>
  <si>
    <t>86,30</t>
  </si>
  <si>
    <t xml:space="preserve">Тимашёвск/Краснодарский край </t>
  </si>
  <si>
    <t>Кабашов Кирилл</t>
  </si>
  <si>
    <t>Open (25.06.1990)/26</t>
  </si>
  <si>
    <t>Немчинов Александр</t>
  </si>
  <si>
    <t>Master 60-69 (10.11.1951)/65</t>
  </si>
  <si>
    <t>Удрис Артурс</t>
  </si>
  <si>
    <t>Open (30.12.1987)/28</t>
  </si>
  <si>
    <t>98,20</t>
  </si>
  <si>
    <t xml:space="preserve">Латвия </t>
  </si>
  <si>
    <t xml:space="preserve">Dobele </t>
  </si>
  <si>
    <t>291,0</t>
  </si>
  <si>
    <t xml:space="preserve">Ivars Cirulis </t>
  </si>
  <si>
    <t>Мякишев Сергей</t>
  </si>
  <si>
    <t>Open (15.09.1977)/39</t>
  </si>
  <si>
    <t>267,5</t>
  </si>
  <si>
    <t>Тимурзиев Руслан</t>
  </si>
  <si>
    <t>Open (09.05.1985)/31</t>
  </si>
  <si>
    <t>Новиков Станислав</t>
  </si>
  <si>
    <t>Open (17.03.1993)/23</t>
  </si>
  <si>
    <t xml:space="preserve">Мурманск/Мурманская область </t>
  </si>
  <si>
    <t>Бычков Павел</t>
  </si>
  <si>
    <t>Master 40-49 (19.08.1975)/41</t>
  </si>
  <si>
    <t>Sub Junior 17-19 (13.01.1997)/19</t>
  </si>
  <si>
    <t>116,40</t>
  </si>
  <si>
    <t>Регулярный Иван</t>
  </si>
  <si>
    <t>Open (27.11.1984)/31</t>
  </si>
  <si>
    <t>121,10</t>
  </si>
  <si>
    <t>Нафтулович Михаил</t>
  </si>
  <si>
    <t>Open (09.06.1992)/24</t>
  </si>
  <si>
    <t>112,30</t>
  </si>
  <si>
    <t>Кириченко Александр</t>
  </si>
  <si>
    <t>Open (11.04.1987)/29</t>
  </si>
  <si>
    <t>114,70</t>
  </si>
  <si>
    <t>144,8520</t>
  </si>
  <si>
    <t>135,5400</t>
  </si>
  <si>
    <t>120,9545</t>
  </si>
  <si>
    <t>120,0500</t>
  </si>
  <si>
    <t>109,7145</t>
  </si>
  <si>
    <t>149,5775</t>
  </si>
  <si>
    <t>136,2348</t>
  </si>
  <si>
    <t>124,7715</t>
  </si>
  <si>
    <t>90,3600</t>
  </si>
  <si>
    <t>179,2320</t>
  </si>
  <si>
    <t>175,5250</t>
  </si>
  <si>
    <t>156,3310</t>
  </si>
  <si>
    <t>147,3308</t>
  </si>
  <si>
    <t>145,9710</t>
  </si>
  <si>
    <t>136,8500</t>
  </si>
  <si>
    <t>129,3165</t>
  </si>
  <si>
    <t>125,4600</t>
  </si>
  <si>
    <t>164,6729</t>
  </si>
  <si>
    <t>144,0113</t>
  </si>
  <si>
    <t>142,3456</t>
  </si>
  <si>
    <t>155,4425</t>
  </si>
  <si>
    <t>144,8000</t>
  </si>
  <si>
    <t>143,3640</t>
  </si>
  <si>
    <t>135,3105</t>
  </si>
  <si>
    <t>115,7850</t>
  </si>
  <si>
    <t>103,4720</t>
  </si>
  <si>
    <t>97,2160</t>
  </si>
  <si>
    <t>162,8940</t>
  </si>
  <si>
    <t>159,3025</t>
  </si>
  <si>
    <t>159,0073</t>
  </si>
  <si>
    <t>158,5440</t>
  </si>
  <si>
    <t>153,0000</t>
  </si>
  <si>
    <t>129,1482</t>
  </si>
  <si>
    <t>205,1200</t>
  </si>
  <si>
    <t>195,4495</t>
  </si>
  <si>
    <t>189,9210</t>
  </si>
  <si>
    <t>187,5720</t>
  </si>
  <si>
    <t>183,9300</t>
  </si>
  <si>
    <t>178,7760</t>
  </si>
  <si>
    <t>178,5248</t>
  </si>
  <si>
    <t>175,3650</t>
  </si>
  <si>
    <t>172,0995</t>
  </si>
  <si>
    <t>170,1700</t>
  </si>
  <si>
    <t>169,2415</t>
  </si>
  <si>
    <t>167,1625</t>
  </si>
  <si>
    <t>166,3480</t>
  </si>
  <si>
    <t>165,3407</t>
  </si>
  <si>
    <t>163,9140</t>
  </si>
  <si>
    <t>163,7368</t>
  </si>
  <si>
    <t>160,8475</t>
  </si>
  <si>
    <t>160,6275</t>
  </si>
  <si>
    <t>159,9360</t>
  </si>
  <si>
    <t>159,7350</t>
  </si>
  <si>
    <t>157,7800</t>
  </si>
  <si>
    <t>157,4980</t>
  </si>
  <si>
    <t>156,0720</t>
  </si>
  <si>
    <t>225,7281</t>
  </si>
  <si>
    <t>211,7152</t>
  </si>
  <si>
    <t>210,3302</t>
  </si>
  <si>
    <t>208,7802</t>
  </si>
  <si>
    <t>207,1535</t>
  </si>
  <si>
    <t>190,0898</t>
  </si>
  <si>
    <t>177,8723</t>
  </si>
  <si>
    <t>177,6451</t>
  </si>
  <si>
    <t>157,6520</t>
  </si>
  <si>
    <t>155,3479</t>
  </si>
  <si>
    <t>154,0896</t>
  </si>
  <si>
    <t>145,7750</t>
  </si>
  <si>
    <t>144,6003</t>
  </si>
  <si>
    <t>141,7219</t>
  </si>
  <si>
    <t>128,3395</t>
  </si>
  <si>
    <t>Возрастная группа
Год рождения/Возраст</t>
  </si>
  <si>
    <t>Собственный вес</t>
  </si>
  <si>
    <t>Белоруссия</t>
  </si>
  <si>
    <t>Казахстан</t>
  </si>
  <si>
    <t>Чили</t>
  </si>
  <si>
    <t>Монголия</t>
  </si>
  <si>
    <t>Эстония</t>
  </si>
  <si>
    <t>Латвия</t>
  </si>
  <si>
    <t>Страна</t>
  </si>
  <si>
    <t>Город/область</t>
  </si>
  <si>
    <t xml:space="preserve">Москва/Московская область </t>
  </si>
  <si>
    <t>Чемпионат мира WRPF                                                                                                                                                                                                         Любители - пауэрлифтинг д/к
15 - 16 ноября 2016</t>
  </si>
  <si>
    <t>Борисов/Минская область</t>
  </si>
  <si>
    <t xml:space="preserve">Борисов/Минская область </t>
  </si>
  <si>
    <t xml:space="preserve">Алматы/Алматинская область </t>
  </si>
  <si>
    <t xml:space="preserve">Минск/Минская область </t>
  </si>
  <si>
    <t xml:space="preserve">Щелково-3/Московская область </t>
  </si>
  <si>
    <t xml:space="preserve">Каховка/Херсонская область </t>
  </si>
  <si>
    <t xml:space="preserve">Санкт-Петербург/ Ленинградская область </t>
  </si>
  <si>
    <t xml:space="preserve">Казань/Республика Татарстан </t>
  </si>
  <si>
    <t xml:space="preserve">Якутск/Республика Якутия </t>
  </si>
  <si>
    <t xml:space="preserve">Новый Уренгой/Ямало-Ненецкий АО </t>
  </si>
  <si>
    <t>Могилев/Могилевская область</t>
  </si>
  <si>
    <t>Новый Уренгой/Ямало-Ненецкий АО</t>
  </si>
  <si>
    <t xml:space="preserve">Таллин/ </t>
  </si>
  <si>
    <t xml:space="preserve">Махачкала/Республика Дагестан </t>
  </si>
  <si>
    <t>Рига/</t>
  </si>
  <si>
    <t xml:space="preserve">Акимов Андрей  </t>
  </si>
  <si>
    <t xml:space="preserve">Шель Фетенгоф Денис  </t>
  </si>
  <si>
    <t xml:space="preserve">Рябоконь Олег  </t>
  </si>
  <si>
    <t xml:space="preserve">Рябоконь Олег </t>
  </si>
  <si>
    <t>Смольников Андрей</t>
  </si>
  <si>
    <t>Рощупкин Алексей</t>
  </si>
  <si>
    <t xml:space="preserve">Пауесов А. </t>
  </si>
  <si>
    <t>Мохов Сергей</t>
  </si>
  <si>
    <t xml:space="preserve">Качан Сергей </t>
  </si>
  <si>
    <t>Демин Роман</t>
  </si>
  <si>
    <t>Семенов Ю.</t>
  </si>
  <si>
    <t xml:space="preserve">Семенов Ю. </t>
  </si>
  <si>
    <t>Ким ]андрей</t>
  </si>
  <si>
    <t>Варава Игорь</t>
  </si>
  <si>
    <t xml:space="preserve">Ямаев Эдуард </t>
  </si>
  <si>
    <t xml:space="preserve">Пискунов Вячеслав </t>
  </si>
  <si>
    <t>Чемпионат мира WRPF                                                                                                                                                           Любители - становая тяга д/к
15 - 16 ноября 2016</t>
  </si>
  <si>
    <t xml:space="preserve">Москва/Московская область  </t>
  </si>
  <si>
    <t xml:space="preserve">Чугуев/Харьковская область </t>
  </si>
  <si>
    <t xml:space="preserve">Чугуев/Харьковская область  </t>
  </si>
  <si>
    <t xml:space="preserve">Алматы/Алматинская область  </t>
  </si>
  <si>
    <t xml:space="preserve">Зеленоград/Московская область  </t>
  </si>
  <si>
    <t xml:space="preserve">Караганда/Карагандинская область  </t>
  </si>
  <si>
    <t xml:space="preserve">Санкт-Петербург/Ленинградская область </t>
  </si>
  <si>
    <t xml:space="preserve">Зеленоградск/Калининградская область </t>
  </si>
  <si>
    <t xml:space="preserve">Нижний Новгород/Нижегородская область  </t>
  </si>
  <si>
    <t xml:space="preserve">Санкт-Петербург/Ленинградская область  </t>
  </si>
  <si>
    <t>Красные Баки/Нижегородская область</t>
  </si>
  <si>
    <t xml:space="preserve">Королев/Московская область  </t>
  </si>
  <si>
    <t xml:space="preserve">Карачаевск/Республика Карачаево-Черкесия </t>
  </si>
  <si>
    <t xml:space="preserve">Уфа/Республика Башкортостан </t>
  </si>
  <si>
    <t xml:space="preserve">Майкоп/Республика Адыгея </t>
  </si>
  <si>
    <t xml:space="preserve">Назрань/Республика Ингушетия </t>
  </si>
  <si>
    <t xml:space="preserve">Рузаевка/Республика Мордовия </t>
  </si>
  <si>
    <t xml:space="preserve">Ухта/Республика Коми </t>
  </si>
  <si>
    <t xml:space="preserve">Антонов Юрий  </t>
  </si>
  <si>
    <t>Швецов Станислав</t>
  </si>
  <si>
    <t xml:space="preserve">Малецкая Светлана </t>
  </si>
  <si>
    <t xml:space="preserve">Крупнин Артур </t>
  </si>
  <si>
    <t xml:space="preserve">Лойко Вадим </t>
  </si>
  <si>
    <t xml:space="preserve">Кулевской </t>
  </si>
  <si>
    <t xml:space="preserve">Романов Анатолий </t>
  </si>
  <si>
    <t>Иванцов Е. Свечкарев В.</t>
  </si>
  <si>
    <t>Хоменко Д. Титов Д.</t>
  </si>
  <si>
    <t xml:space="preserve">Сухобок Максим </t>
  </si>
  <si>
    <t xml:space="preserve">Кучер С. </t>
  </si>
  <si>
    <t>самостоятельно</t>
  </si>
  <si>
    <t xml:space="preserve">Целовальников, Новоселов </t>
  </si>
  <si>
    <t>Авдулов Е.</t>
  </si>
  <si>
    <t xml:space="preserve">Павлов Виктор </t>
  </si>
  <si>
    <t xml:space="preserve">Даниелян Сергей </t>
  </si>
  <si>
    <t xml:space="preserve">Королев Анрей </t>
  </si>
  <si>
    <t>Бобров Дмитрий</t>
  </si>
  <si>
    <t>Милостной Станислав</t>
  </si>
  <si>
    <t>Бойко Ю.</t>
  </si>
  <si>
    <t>Чернявский Т.</t>
  </si>
  <si>
    <t>Антонов Ю.</t>
  </si>
  <si>
    <t xml:space="preserve">Щербачев Алексей </t>
  </si>
  <si>
    <t>Суровецкий Аскольд</t>
  </si>
  <si>
    <t>Сивоконь Алексей</t>
  </si>
  <si>
    <t xml:space="preserve">Лукьянов А.  </t>
  </si>
  <si>
    <t xml:space="preserve">Чемпионат мира WRPF                                                                                                                                                                                                         Любители - жим лежа д/к
15 - 16 ноября 2016 </t>
  </si>
  <si>
    <t>Россия</t>
  </si>
  <si>
    <t xml:space="preserve">Борисов/Минская область  </t>
  </si>
  <si>
    <t xml:space="preserve">Гродно/Гродненская область  </t>
  </si>
  <si>
    <t>Акимов Андрей</t>
  </si>
  <si>
    <t>Зубков Павел</t>
  </si>
  <si>
    <t xml:space="preserve">Горячев Андрей </t>
  </si>
  <si>
    <t>Лютый Игорь</t>
  </si>
  <si>
    <t xml:space="preserve">Евсеев Михаил </t>
  </si>
  <si>
    <t>Приходько Андрей</t>
  </si>
  <si>
    <t>Евдокушин С.</t>
  </si>
  <si>
    <t xml:space="preserve">Осипов Олег </t>
  </si>
  <si>
    <t xml:space="preserve">Феодосия/Республика Крым </t>
  </si>
  <si>
    <t>627,5</t>
  </si>
  <si>
    <t>384,9085</t>
  </si>
  <si>
    <t>1</t>
  </si>
  <si>
    <t>2</t>
  </si>
  <si>
    <t>3</t>
  </si>
  <si>
    <t>Дмитриев Кирилл</t>
  </si>
  <si>
    <t>Open (20.04.1981)/35</t>
  </si>
  <si>
    <t>0,9096</t>
  </si>
  <si>
    <t>95,00</t>
  </si>
  <si>
    <t>86,4073</t>
  </si>
  <si>
    <t>Петрокович Николай</t>
  </si>
  <si>
    <t>Open (17.08.1979)/37</t>
  </si>
  <si>
    <t>76,50</t>
  </si>
  <si>
    <t>0,6786</t>
  </si>
  <si>
    <t>83,1285</t>
  </si>
  <si>
    <t>Востриков Антон</t>
  </si>
  <si>
    <t>Juniors 20-23 (07.06.1995)/21</t>
  </si>
  <si>
    <t>83,60</t>
  </si>
  <si>
    <t>0,6392</t>
  </si>
  <si>
    <t xml:space="preserve">Вологда/Вологодская область </t>
  </si>
  <si>
    <t>120,00</t>
  </si>
  <si>
    <t>76,7040</t>
  </si>
  <si>
    <t xml:space="preserve">Балашов Николай </t>
  </si>
  <si>
    <t xml:space="preserve">Gloss </t>
  </si>
  <si>
    <t xml:space="preserve">Юниоры 20 - 23 </t>
  </si>
  <si>
    <t xml:space="preserve">82,5 </t>
  </si>
  <si>
    <t>&gt;</t>
  </si>
  <si>
    <t>Куликова Ольга</t>
  </si>
  <si>
    <t>Sub Junior 14-16 (18.04.2004)/12</t>
  </si>
  <si>
    <t>40,30</t>
  </si>
  <si>
    <t>1,4872</t>
  </si>
  <si>
    <t xml:space="preserve">Симферополь/Республика Крым </t>
  </si>
  <si>
    <t>22,5</t>
  </si>
  <si>
    <t>25,0</t>
  </si>
  <si>
    <t>107,50</t>
  </si>
  <si>
    <t>159,8740</t>
  </si>
  <si>
    <t xml:space="preserve">Куликов Юрий </t>
  </si>
  <si>
    <t>Петриченко Ольга</t>
  </si>
  <si>
    <t>Open (21.12.1985)/30</t>
  </si>
  <si>
    <t>1,2730</t>
  </si>
  <si>
    <t>280,00</t>
  </si>
  <si>
    <t>356,4400</t>
  </si>
  <si>
    <t>Горбунов Вячеслав</t>
  </si>
  <si>
    <t>Трай Ольга</t>
  </si>
  <si>
    <t>Open (19.04.1987)/29</t>
  </si>
  <si>
    <t>1,1766</t>
  </si>
  <si>
    <t xml:space="preserve">Балхаш/Карагандинская область </t>
  </si>
  <si>
    <t>332,50</t>
  </si>
  <si>
    <t>391,2195</t>
  </si>
  <si>
    <t>Радина Ярослава</t>
  </si>
  <si>
    <t>Open (03.03.1990)/26</t>
  </si>
  <si>
    <t>1,1149</t>
  </si>
  <si>
    <t>0,00</t>
  </si>
  <si>
    <t>0,0000</t>
  </si>
  <si>
    <t>Харина Валентина</t>
  </si>
  <si>
    <t>Open (10.12.1977)/38</t>
  </si>
  <si>
    <t>65,50</t>
  </si>
  <si>
    <t>1,0432</t>
  </si>
  <si>
    <t>395,00</t>
  </si>
  <si>
    <t>412,0640</t>
  </si>
  <si>
    <t>Величко Екатерина</t>
  </si>
  <si>
    <t>Open (24.07.1991)/25</t>
  </si>
  <si>
    <t>1,0206</t>
  </si>
  <si>
    <t xml:space="preserve">Азов/Ростовская область </t>
  </si>
  <si>
    <t>372,50</t>
  </si>
  <si>
    <t>380,1735</t>
  </si>
  <si>
    <t xml:space="preserve">Величко Константин </t>
  </si>
  <si>
    <t>Разуваева Елена</t>
  </si>
  <si>
    <t>Open (26.04.1988)/28</t>
  </si>
  <si>
    <t>1,0283</t>
  </si>
  <si>
    <t>Украина</t>
  </si>
  <si>
    <t xml:space="preserve">Одесса/ </t>
  </si>
  <si>
    <t>Морозова Марина</t>
  </si>
  <si>
    <t>Open (09.10.1978)/38</t>
  </si>
  <si>
    <t>73,00</t>
  </si>
  <si>
    <t>0,9672</t>
  </si>
  <si>
    <t>462,50</t>
  </si>
  <si>
    <t>447,3300</t>
  </si>
  <si>
    <t>Мясникова Екатерина</t>
  </si>
  <si>
    <t>Open (28.06.1986)/30</t>
  </si>
  <si>
    <t>82,20</t>
  </si>
  <si>
    <t>0,9017</t>
  </si>
  <si>
    <t>525,00</t>
  </si>
  <si>
    <t>473,3925</t>
  </si>
  <si>
    <t>Anna Kate</t>
  </si>
  <si>
    <t>Open (25.03.1980)/36</t>
  </si>
  <si>
    <t>0,8425</t>
  </si>
  <si>
    <t>США</t>
  </si>
  <si>
    <t xml:space="preserve">Atlanta/Georgia </t>
  </si>
  <si>
    <t>345,00</t>
  </si>
  <si>
    <t>290,6625</t>
  </si>
  <si>
    <t>Бирюков Антон</t>
  </si>
  <si>
    <t>Sub Junior 17-19 (17.03.1998)/18</t>
  </si>
  <si>
    <t>0,7804</t>
  </si>
  <si>
    <t xml:space="preserve">Изобильный/Ставропольский край </t>
  </si>
  <si>
    <t>405,00</t>
  </si>
  <si>
    <t>316,0620</t>
  </si>
  <si>
    <t>Удалов Александр</t>
  </si>
  <si>
    <t>Open (09.11.1977)/39</t>
  </si>
  <si>
    <t>66,20</t>
  </si>
  <si>
    <t>0,7832</t>
  </si>
  <si>
    <t xml:space="preserve">Рыбинск/Ярославская область </t>
  </si>
  <si>
    <t>535,00</t>
  </si>
  <si>
    <t>419,0120</t>
  </si>
  <si>
    <t>Дарда Антон</t>
  </si>
  <si>
    <t>Open (15.03.1988)/28</t>
  </si>
  <si>
    <t>74,70</t>
  </si>
  <si>
    <t>0,7146</t>
  </si>
  <si>
    <t xml:space="preserve">Донецк/Донецкая область  </t>
  </si>
  <si>
    <t>580,00</t>
  </si>
  <si>
    <t>414,4680</t>
  </si>
  <si>
    <t>Давыдов Дмитрий</t>
  </si>
  <si>
    <t>Open (20.08.1990)/26</t>
  </si>
  <si>
    <t>0,7285</t>
  </si>
  <si>
    <t>520,00</t>
  </si>
  <si>
    <t>378,8200</t>
  </si>
  <si>
    <t xml:space="preserve">Швецов Павел </t>
  </si>
  <si>
    <t>Мун Станислав</t>
  </si>
  <si>
    <t>Master 40-49 (16.11.1968)/48</t>
  </si>
  <si>
    <t>74,20</t>
  </si>
  <si>
    <t>0,7179</t>
  </si>
  <si>
    <t>400,00</t>
  </si>
  <si>
    <t>319,8962</t>
  </si>
  <si>
    <t>Тюгай Александр</t>
  </si>
  <si>
    <t>Master 50-59 (11.06.1966)/50</t>
  </si>
  <si>
    <t>73,90</t>
  </si>
  <si>
    <t>0,7200</t>
  </si>
  <si>
    <t>490,00</t>
  </si>
  <si>
    <t>405,7200</t>
  </si>
  <si>
    <t>Понамарев Ник</t>
  </si>
  <si>
    <t>Sub Junior 14-16 (26.03.2001)/15</t>
  </si>
  <si>
    <t>0,6699</t>
  </si>
  <si>
    <t xml:space="preserve">Тарас/ </t>
  </si>
  <si>
    <t>Коваленко Илья</t>
  </si>
  <si>
    <t>Junior (02.08.1995)/21</t>
  </si>
  <si>
    <t>0,6739</t>
  </si>
  <si>
    <t xml:space="preserve">Волгоград </t>
  </si>
  <si>
    <t>655,00</t>
  </si>
  <si>
    <t>441,4045</t>
  </si>
  <si>
    <t>Orlando Torino</t>
  </si>
  <si>
    <t>Junior (16.12.1992)/23</t>
  </si>
  <si>
    <t>0,6709</t>
  </si>
  <si>
    <t>Аргентина</t>
  </si>
  <si>
    <t xml:space="preserve">Santa Rosa/La Pampa </t>
  </si>
  <si>
    <t>555,00</t>
  </si>
  <si>
    <t>372,3495</t>
  </si>
  <si>
    <t>Ромашин Александр</t>
  </si>
  <si>
    <t>Junior (14.05.1993)/23</t>
  </si>
  <si>
    <t>80,00</t>
  </si>
  <si>
    <t>0,6827</t>
  </si>
  <si>
    <t>Величко Даниил</t>
  </si>
  <si>
    <t>Junior (05.04.1996)/20</t>
  </si>
  <si>
    <t>0,6816</t>
  </si>
  <si>
    <t>Репин Никита</t>
  </si>
  <si>
    <t>Junior (20.02.1995)/21</t>
  </si>
  <si>
    <t>80,90</t>
  </si>
  <si>
    <t>0,6779</t>
  </si>
  <si>
    <t>0,6734</t>
  </si>
  <si>
    <t>760,00</t>
  </si>
  <si>
    <t>511,7840</t>
  </si>
  <si>
    <t>Мик Сергей</t>
  </si>
  <si>
    <t>Open (22.01.1987)/29</t>
  </si>
  <si>
    <t>282,5</t>
  </si>
  <si>
    <t>727,50</t>
  </si>
  <si>
    <t>493,1723</t>
  </si>
  <si>
    <t>Пакулов Сергей</t>
  </si>
  <si>
    <t>Open (22.02.1989)/27</t>
  </si>
  <si>
    <t>81,60</t>
  </si>
  <si>
    <t>0,6744</t>
  </si>
  <si>
    <t>712,50</t>
  </si>
  <si>
    <t>480,5100</t>
  </si>
  <si>
    <t>Коваль Максим</t>
  </si>
  <si>
    <t>Open (23.12.1991)/24</t>
  </si>
  <si>
    <t xml:space="preserve">Макеевка/Донецкая область  </t>
  </si>
  <si>
    <t>277,5</t>
  </si>
  <si>
    <t>672,50</t>
  </si>
  <si>
    <t>455,8878</t>
  </si>
  <si>
    <t xml:space="preserve">Закиров Ильдар </t>
  </si>
  <si>
    <t>Шишкин Денис</t>
  </si>
  <si>
    <t>Open (20.04.1983)/33</t>
  </si>
  <si>
    <t>0,6704</t>
  </si>
  <si>
    <t xml:space="preserve">Междуреченский/Ханты-Мансийский АО </t>
  </si>
  <si>
    <t>667,50</t>
  </si>
  <si>
    <t>447,4920</t>
  </si>
  <si>
    <t>Балаков Федор</t>
  </si>
  <si>
    <t>Open (15.11.1981)/35</t>
  </si>
  <si>
    <t>0,6724</t>
  </si>
  <si>
    <t>640,00</t>
  </si>
  <si>
    <t>430,3360</t>
  </si>
  <si>
    <t>Кадыров Имамутдин</t>
  </si>
  <si>
    <t>Open (17.06.1991)/25</t>
  </si>
  <si>
    <t>0,6749</t>
  </si>
  <si>
    <t xml:space="preserve">Иниев Умар </t>
  </si>
  <si>
    <t>Мухин Владислав</t>
  </si>
  <si>
    <t>Open (01.03.1983)/33</t>
  </si>
  <si>
    <t>81,90</t>
  </si>
  <si>
    <t>0,6729</t>
  </si>
  <si>
    <t xml:space="preserve">Камышин/Волгоградская область </t>
  </si>
  <si>
    <t>Бобров Никита</t>
  </si>
  <si>
    <t>Open (29.07.1994)/22</t>
  </si>
  <si>
    <t xml:space="preserve">Сокульский Сергей </t>
  </si>
  <si>
    <t>570,00</t>
  </si>
  <si>
    <t>388,6338</t>
  </si>
  <si>
    <t>Шихгасанов Рамазан</t>
  </si>
  <si>
    <t>Junior (23.02.1995)/21</t>
  </si>
  <si>
    <t>0,6384</t>
  </si>
  <si>
    <t xml:space="preserve">Дербент/Республика Дагестан </t>
  </si>
  <si>
    <t>770,00</t>
  </si>
  <si>
    <t>491,5680</t>
  </si>
  <si>
    <t>Лопырев Александр</t>
  </si>
  <si>
    <t>Junior (03.01.1995)/21</t>
  </si>
  <si>
    <t>0,6475</t>
  </si>
  <si>
    <t>600,00</t>
  </si>
  <si>
    <t>388,5000</t>
  </si>
  <si>
    <t>0,6421</t>
  </si>
  <si>
    <t xml:space="preserve">Астрахань/Астраханская область </t>
  </si>
  <si>
    <t>111,0</t>
  </si>
  <si>
    <t xml:space="preserve">Давтян Артур </t>
  </si>
  <si>
    <t>Улащик Андрей</t>
  </si>
  <si>
    <t>Open (20.07.1983)/33</t>
  </si>
  <si>
    <t xml:space="preserve">Минск/Минская область  </t>
  </si>
  <si>
    <t>330,0</t>
  </si>
  <si>
    <t>780,00</t>
  </si>
  <si>
    <t>497,9520</t>
  </si>
  <si>
    <t>Fazekas Janos</t>
  </si>
  <si>
    <t>Open (16.09.1987)/29</t>
  </si>
  <si>
    <t>0,6440</t>
  </si>
  <si>
    <t xml:space="preserve">Венгрия </t>
  </si>
  <si>
    <t xml:space="preserve">Miskolc/ </t>
  </si>
  <si>
    <t>300,5</t>
  </si>
  <si>
    <t>301,0</t>
  </si>
  <si>
    <t>495,8800</t>
  </si>
  <si>
    <t xml:space="preserve">Laszlo Merzarosh </t>
  </si>
  <si>
    <t>Open (23.02.1995)/21</t>
  </si>
  <si>
    <t>Бубин Андрей</t>
  </si>
  <si>
    <t>Open (08.06.1981)/35</t>
  </si>
  <si>
    <t xml:space="preserve">Сергиев Посад/Московская область </t>
  </si>
  <si>
    <t>705,00</t>
  </si>
  <si>
    <t>450,0720</t>
  </si>
  <si>
    <t xml:space="preserve">Чумичев Сергей </t>
  </si>
  <si>
    <t>Юршин Евгений</t>
  </si>
  <si>
    <t>Open (01.05.1989)/27</t>
  </si>
  <si>
    <t xml:space="preserve">Усинск/Республика Коми </t>
  </si>
  <si>
    <t>620,00</t>
  </si>
  <si>
    <t>399,2800</t>
  </si>
  <si>
    <t>Архиреев Алексей</t>
  </si>
  <si>
    <t>Open (15.09.1989)/27</t>
  </si>
  <si>
    <t>86,50</t>
  </si>
  <si>
    <t>0,6519</t>
  </si>
  <si>
    <t>442,50</t>
  </si>
  <si>
    <t>288,4657</t>
  </si>
  <si>
    <t>Романов Алексей</t>
  </si>
  <si>
    <t>Долматов Дмитрий</t>
  </si>
  <si>
    <t>Open (01.05.1988)/28</t>
  </si>
  <si>
    <t>0,6483</t>
  </si>
  <si>
    <t>Афанасьев Николай</t>
  </si>
  <si>
    <t>Open (27.04.1981)/35</t>
  </si>
  <si>
    <t>0,6402</t>
  </si>
  <si>
    <t>Макаров Александр</t>
  </si>
  <si>
    <t>Open (08.10.1983)/33</t>
  </si>
  <si>
    <t>0,6395</t>
  </si>
  <si>
    <t>Головинский Дмитрий</t>
  </si>
  <si>
    <t>Постнов Дмитрий</t>
  </si>
  <si>
    <t>Master 40-49 (17.07.1971)/45</t>
  </si>
  <si>
    <t>602,50</t>
  </si>
  <si>
    <t>408,8637</t>
  </si>
  <si>
    <t>Окладной Олег</t>
  </si>
  <si>
    <t>Master 40-49 (07.10.1975)/41</t>
  </si>
  <si>
    <t>0,6432</t>
  </si>
  <si>
    <t xml:space="preserve">Евпатория/Республика Крым </t>
  </si>
  <si>
    <t>358,7609</t>
  </si>
  <si>
    <t>Куликов Юрий</t>
  </si>
  <si>
    <t>Master 50-59 (01.08.1959)/57</t>
  </si>
  <si>
    <t>88,00</t>
  </si>
  <si>
    <t>0,6459</t>
  </si>
  <si>
    <t>472,50</t>
  </si>
  <si>
    <t>395,8285</t>
  </si>
  <si>
    <t xml:space="preserve">Горбунов Вячеслав </t>
  </si>
  <si>
    <t>Ашенов Кайрбай</t>
  </si>
  <si>
    <t>Master 50-59 (23.01.1962)/54</t>
  </si>
  <si>
    <t>86,70</t>
  </si>
  <si>
    <t>0,6511</t>
  </si>
  <si>
    <t xml:space="preserve">Павлодар/Павлодарская область  </t>
  </si>
  <si>
    <t>460,00</t>
  </si>
  <si>
    <t>367,7934</t>
  </si>
  <si>
    <t>Васильев Богдан</t>
  </si>
  <si>
    <t>Junior (26.12.1994)/21</t>
  </si>
  <si>
    <t>0,6183</t>
  </si>
  <si>
    <t>790,00</t>
  </si>
  <si>
    <t>488,4570</t>
  </si>
  <si>
    <t>Лебедев Валерий</t>
  </si>
  <si>
    <t>Junior (04.10.1996)/20</t>
  </si>
  <si>
    <t>98,30</t>
  </si>
  <si>
    <t>0,6129</t>
  </si>
  <si>
    <t>401,4495</t>
  </si>
  <si>
    <t>Медведев Олег</t>
  </si>
  <si>
    <t>0,6194</t>
  </si>
  <si>
    <t xml:space="preserve">Балхаш/Карагандинская область  </t>
  </si>
  <si>
    <t>605,00</t>
  </si>
  <si>
    <t>374,7370</t>
  </si>
  <si>
    <t>Ускембаев Далель</t>
  </si>
  <si>
    <t>Junior (19.11.1993)/22</t>
  </si>
  <si>
    <t>95,30</t>
  </si>
  <si>
    <t>0,6211</t>
  </si>
  <si>
    <t>590,00</t>
  </si>
  <si>
    <t>366,4490</t>
  </si>
  <si>
    <t>0,6086</t>
  </si>
  <si>
    <t>812,50</t>
  </si>
  <si>
    <t>494,4875</t>
  </si>
  <si>
    <t>Open (26.12.1994)/21</t>
  </si>
  <si>
    <t>Кузнецов Валерий</t>
  </si>
  <si>
    <t>Open (21.08.1983)/33</t>
  </si>
  <si>
    <t>0,6123</t>
  </si>
  <si>
    <t>785,00</t>
  </si>
  <si>
    <t>480,6555</t>
  </si>
  <si>
    <t>Зинуров Алексей</t>
  </si>
  <si>
    <t>96,40</t>
  </si>
  <si>
    <t>0,6180</t>
  </si>
  <si>
    <t>765,00</t>
  </si>
  <si>
    <t>472,7700</t>
  </si>
  <si>
    <t>Королев Сергей</t>
  </si>
  <si>
    <t>Open (22.06.1983)/33</t>
  </si>
  <si>
    <t>99,00</t>
  </si>
  <si>
    <t>0,6111</t>
  </si>
  <si>
    <t>750,00</t>
  </si>
  <si>
    <t>458,3250</t>
  </si>
  <si>
    <t>Любоконскис Артур</t>
  </si>
  <si>
    <t>Open (10.07.1984)/32</t>
  </si>
  <si>
    <t>0,6088</t>
  </si>
  <si>
    <t>Кыргызстан</t>
  </si>
  <si>
    <t xml:space="preserve">Бишкек/ </t>
  </si>
  <si>
    <t>456,6000</t>
  </si>
  <si>
    <t>Григорьев Владимир</t>
  </si>
  <si>
    <t>Open (21.07.1986)/30</t>
  </si>
  <si>
    <t>0,6163</t>
  </si>
  <si>
    <t>742,50</t>
  </si>
  <si>
    <t>457,6027</t>
  </si>
  <si>
    <t xml:space="preserve">Михеев Виктор </t>
  </si>
  <si>
    <t>Зиновьев Александр</t>
  </si>
  <si>
    <t>Open (06.07.1985)/31</t>
  </si>
  <si>
    <t>96,70</t>
  </si>
  <si>
    <t>0,6172</t>
  </si>
  <si>
    <t>272,5</t>
  </si>
  <si>
    <t>707,50</t>
  </si>
  <si>
    <t>436,6690</t>
  </si>
  <si>
    <t>Саютин Василий</t>
  </si>
  <si>
    <t>Open (28.05.1983)/33</t>
  </si>
  <si>
    <t>99,40</t>
  </si>
  <si>
    <t>0,6101</t>
  </si>
  <si>
    <t>702,50</t>
  </si>
  <si>
    <t>428,5952</t>
  </si>
  <si>
    <t>Новиков Игорь</t>
  </si>
  <si>
    <t>Open (29.08.1988)/28</t>
  </si>
  <si>
    <t xml:space="preserve">Пугачев/Саратовская область  </t>
  </si>
  <si>
    <t xml:space="preserve">Михеев В. </t>
  </si>
  <si>
    <t>Леликов Павел</t>
  </si>
  <si>
    <t>Open (08.05.1991)/25</t>
  </si>
  <si>
    <t>92,20</t>
  </si>
  <si>
    <t>0,6308</t>
  </si>
  <si>
    <t>700,00</t>
  </si>
  <si>
    <t>441,5600</t>
  </si>
  <si>
    <t>Подволокин Алексей</t>
  </si>
  <si>
    <t>Open (26.12.1991)/24</t>
  </si>
  <si>
    <t>0,6191</t>
  </si>
  <si>
    <t xml:space="preserve">Петрозаводск/Республика Карелия </t>
  </si>
  <si>
    <t>690,00</t>
  </si>
  <si>
    <t>427,1790</t>
  </si>
  <si>
    <t>Бричков Александр</t>
  </si>
  <si>
    <t>Open (30.07.1990)/26</t>
  </si>
  <si>
    <t>685,00</t>
  </si>
  <si>
    <t>418,6035</t>
  </si>
  <si>
    <t>Яковлев Дмитрий</t>
  </si>
  <si>
    <t>Open (20.08.1984)/32</t>
  </si>
  <si>
    <t>0,6136</t>
  </si>
  <si>
    <t>675,00</t>
  </si>
  <si>
    <t>414,1800</t>
  </si>
  <si>
    <t>Сличенко Павел</t>
  </si>
  <si>
    <t>Open (07.11.1982)/34</t>
  </si>
  <si>
    <t>645,00</t>
  </si>
  <si>
    <t>399,5130</t>
  </si>
  <si>
    <t>Жиленко Зураб</t>
  </si>
  <si>
    <t>Open (02.04.1990)/26</t>
  </si>
  <si>
    <t>94,00</t>
  </si>
  <si>
    <t>0,6250</t>
  </si>
  <si>
    <t>346,8750</t>
  </si>
  <si>
    <t>Зубаков Глеб</t>
  </si>
  <si>
    <t>Open (06.06.1991)/25</t>
  </si>
  <si>
    <t>0,6152</t>
  </si>
  <si>
    <t>319,9040</t>
  </si>
  <si>
    <t xml:space="preserve">Писаревский Алексей </t>
  </si>
  <si>
    <t>Чупряков Игорь</t>
  </si>
  <si>
    <t>Master 40-49 (31.08.1975)/41</t>
  </si>
  <si>
    <t>0,6142</t>
  </si>
  <si>
    <t xml:space="preserve">Клин/Московская область </t>
  </si>
  <si>
    <t>697,50</t>
  </si>
  <si>
    <t>430,5465</t>
  </si>
  <si>
    <t>Javier Villaverde</t>
  </si>
  <si>
    <t>Master 40-49 (11.03.1969)/47</t>
  </si>
  <si>
    <t>0,6121</t>
  </si>
  <si>
    <t>Buenos Aires/Argentina</t>
  </si>
  <si>
    <t>687,50</t>
  </si>
  <si>
    <t>461,2174</t>
  </si>
  <si>
    <t xml:space="preserve">Enrique Barrionuevo </t>
  </si>
  <si>
    <t>97,60</t>
  </si>
  <si>
    <t>0,6147</t>
  </si>
  <si>
    <t>660,00</t>
  </si>
  <si>
    <t>411,3818</t>
  </si>
  <si>
    <t>Лузин Игорь</t>
  </si>
  <si>
    <t>Master 40-49 (04.11.1969)/47</t>
  </si>
  <si>
    <t>0,6223</t>
  </si>
  <si>
    <t xml:space="preserve">Благовещенск/Амурская область </t>
  </si>
  <si>
    <t>585,00</t>
  </si>
  <si>
    <t>398,9939</t>
  </si>
  <si>
    <t xml:space="preserve">Баклыкова Ольга  </t>
  </si>
  <si>
    <t>Цветков Александр</t>
  </si>
  <si>
    <t>Master 50-59 (10.04.1957)/59</t>
  </si>
  <si>
    <t>518,1867</t>
  </si>
  <si>
    <t xml:space="preserve">Цветков Василий </t>
  </si>
  <si>
    <t>Печерский Анатолий</t>
  </si>
  <si>
    <t>Master 50-59 (23.08.1965)/51</t>
  </si>
  <si>
    <t>91,60</t>
  </si>
  <si>
    <t>0,6328</t>
  </si>
  <si>
    <t>Молдова</t>
  </si>
  <si>
    <t xml:space="preserve">Кишинев/ </t>
  </si>
  <si>
    <t>607,50</t>
  </si>
  <si>
    <t>449,0096</t>
  </si>
  <si>
    <t>Махров Сергей</t>
  </si>
  <si>
    <t>Master 50-59 (17.02.1957)/59</t>
  </si>
  <si>
    <t>0,6229</t>
  </si>
  <si>
    <t>572,50</t>
  </si>
  <si>
    <t>481,4238</t>
  </si>
  <si>
    <t>Саденов Сайдулла-Эфендий</t>
  </si>
  <si>
    <t>Master 50-59 (28.06.1959)/57</t>
  </si>
  <si>
    <t>0,6188</t>
  </si>
  <si>
    <t>565,00</t>
  </si>
  <si>
    <t>453,4597</t>
  </si>
  <si>
    <t>Головатая Ольга</t>
  </si>
  <si>
    <t>Open (09.08.1989)/27</t>
  </si>
  <si>
    <t>53,50</t>
  </si>
  <si>
    <t>1,2194</t>
  </si>
  <si>
    <t xml:space="preserve">Красноперекопск/Республика Крым </t>
  </si>
  <si>
    <t>80</t>
  </si>
  <si>
    <t>97,5520</t>
  </si>
  <si>
    <t xml:space="preserve">Полутин С. </t>
  </si>
  <si>
    <t>Jolanta Izabela</t>
  </si>
  <si>
    <t>Master 40-49 (11.04.1969)/47</t>
  </si>
  <si>
    <t>1,1832</t>
  </si>
  <si>
    <t xml:space="preserve">Boleslawiec/Dolnoslaskie </t>
  </si>
  <si>
    <t>75</t>
  </si>
  <si>
    <t>97,2590</t>
  </si>
  <si>
    <t xml:space="preserve">Bartec Zavada </t>
  </si>
  <si>
    <t>Хроменкова Людмила</t>
  </si>
  <si>
    <t>Master 50-59 (20.09.1961)/55</t>
  </si>
  <si>
    <t>60</t>
  </si>
  <si>
    <t>88,7400</t>
  </si>
  <si>
    <t>Мандровская Ольга</t>
  </si>
  <si>
    <t>Open (20.05.1987)/29</t>
  </si>
  <si>
    <t>56,60</t>
  </si>
  <si>
    <t>1,1668</t>
  </si>
  <si>
    <t>90</t>
  </si>
  <si>
    <t>105,0120</t>
  </si>
  <si>
    <t>85</t>
  </si>
  <si>
    <t>94,7665</t>
  </si>
  <si>
    <t>58,90</t>
  </si>
  <si>
    <t>1,1310</t>
  </si>
  <si>
    <t>87,6525</t>
  </si>
  <si>
    <t xml:space="preserve">Королев Сергей </t>
  </si>
  <si>
    <t>0</t>
  </si>
  <si>
    <t>Смагина Екатерина</t>
  </si>
  <si>
    <t>Master 40-49 (03.07.1975)/41</t>
  </si>
  <si>
    <t>1,1281</t>
  </si>
  <si>
    <t xml:space="preserve">Аксютин Антон </t>
  </si>
  <si>
    <t>Коваленко Дарья</t>
  </si>
  <si>
    <t>Sub Junior 14-16 (13.09.2002)/14</t>
  </si>
  <si>
    <t>84,1995</t>
  </si>
  <si>
    <t>Zawadzka Marta</t>
  </si>
  <si>
    <t>Junior (16.09.1996)/20</t>
  </si>
  <si>
    <t>67,30</t>
  </si>
  <si>
    <t>1,0228</t>
  </si>
  <si>
    <t xml:space="preserve">Szczecin/Zachodniopomorskie </t>
  </si>
  <si>
    <t>81,8240</t>
  </si>
  <si>
    <t>Andrzej Kocyla</t>
  </si>
  <si>
    <t>77,1225</t>
  </si>
  <si>
    <t>Блинова Анастасия</t>
  </si>
  <si>
    <t>Sub Junior 17-19 (06.01.1999)/17</t>
  </si>
  <si>
    <t>0,9538</t>
  </si>
  <si>
    <t>85,8420</t>
  </si>
  <si>
    <t xml:space="preserve">Аржаков Даниил </t>
  </si>
  <si>
    <t>Богданович Вера</t>
  </si>
  <si>
    <t>Open (26.02.1989)/27</t>
  </si>
  <si>
    <t>0,9530</t>
  </si>
  <si>
    <t>Беларуссия</t>
  </si>
  <si>
    <t xml:space="preserve">Брест/Брестская область </t>
  </si>
  <si>
    <t>115</t>
  </si>
  <si>
    <t>109,5950</t>
  </si>
  <si>
    <t xml:space="preserve">Богданович Александр </t>
  </si>
  <si>
    <t>Helgesson Maria</t>
  </si>
  <si>
    <t>Open (16.06.1988)/28</t>
  </si>
  <si>
    <t>0,9131</t>
  </si>
  <si>
    <t>Швеция</t>
  </si>
  <si>
    <t xml:space="preserve">Sary/ </t>
  </si>
  <si>
    <t>120,5</t>
  </si>
  <si>
    <t>120</t>
  </si>
  <si>
    <t>109,5720</t>
  </si>
  <si>
    <t>Калинченко Юлия</t>
  </si>
  <si>
    <t>Open (20.11.1977)/38</t>
  </si>
  <si>
    <t>0,9156</t>
  </si>
  <si>
    <t xml:space="preserve">Севастополь/Республика  Крым </t>
  </si>
  <si>
    <t>105</t>
  </si>
  <si>
    <t>96,1380</t>
  </si>
  <si>
    <t xml:space="preserve">Стасюк Артем </t>
  </si>
  <si>
    <t>Роднина Анна</t>
  </si>
  <si>
    <t>Open (28.04.1984)/32</t>
  </si>
  <si>
    <t>0,9106</t>
  </si>
  <si>
    <t xml:space="preserve">Ростов-на-Дону/Ростовская область </t>
  </si>
  <si>
    <t>84,2305</t>
  </si>
  <si>
    <t xml:space="preserve">Роднин Роман </t>
  </si>
  <si>
    <t>81,10</t>
  </si>
  <si>
    <t>0,9082</t>
  </si>
  <si>
    <t>149,3035</t>
  </si>
  <si>
    <t>Белоусов Роман</t>
  </si>
  <si>
    <t>Open (19.10.1991)/25</t>
  </si>
  <si>
    <t>54,50</t>
  </si>
  <si>
    <t>0,9352</t>
  </si>
  <si>
    <t>160</t>
  </si>
  <si>
    <t>149,6320</t>
  </si>
  <si>
    <t xml:space="preserve">Лукьянов А. </t>
  </si>
  <si>
    <t>Джеббаров Джеббар</t>
  </si>
  <si>
    <t>Sub Junior 17-19 (27.12.1997)/18</t>
  </si>
  <si>
    <t>65,60</t>
  </si>
  <si>
    <t>0,7891</t>
  </si>
  <si>
    <t>125</t>
  </si>
  <si>
    <t>98,6375</t>
  </si>
  <si>
    <t xml:space="preserve">Письменный С. </t>
  </si>
  <si>
    <t>Бобрышев Даниил</t>
  </si>
  <si>
    <t>Sub Junior 17-19 (25.05.1997)/19</t>
  </si>
  <si>
    <t>63,90</t>
  </si>
  <si>
    <t>0,8067</t>
  </si>
  <si>
    <t>72,6030</t>
  </si>
  <si>
    <t>Агапов Сергей</t>
  </si>
  <si>
    <t>Open (17.11.1988)/28</t>
  </si>
  <si>
    <t>0,7901</t>
  </si>
  <si>
    <t>124,4407</t>
  </si>
  <si>
    <t>Самигуллин Хасан</t>
  </si>
  <si>
    <t>Open (20.10.1992)/24</t>
  </si>
  <si>
    <t>65,40</t>
  </si>
  <si>
    <t>0,7911</t>
  </si>
  <si>
    <t xml:space="preserve">Астана/ </t>
  </si>
  <si>
    <t>145</t>
  </si>
  <si>
    <t>114,7095</t>
  </si>
  <si>
    <t>Дьяков Александр</t>
  </si>
  <si>
    <t>Junior (07.01.1994)/22</t>
  </si>
  <si>
    <t>0,7159</t>
  </si>
  <si>
    <t>160,5</t>
  </si>
  <si>
    <t>166,0</t>
  </si>
  <si>
    <t>114,5440</t>
  </si>
  <si>
    <t>Данельянц Артем</t>
  </si>
  <si>
    <t>Junior (01.08.1993)/23</t>
  </si>
  <si>
    <t>0,7390</t>
  </si>
  <si>
    <t>107,1550</t>
  </si>
  <si>
    <t>Маканов Владимир</t>
  </si>
  <si>
    <t>Junior (23.02.1996)/20</t>
  </si>
  <si>
    <t>72,80</t>
  </si>
  <si>
    <t>0,7278</t>
  </si>
  <si>
    <t>130</t>
  </si>
  <si>
    <t>94,6140</t>
  </si>
  <si>
    <t>Белоус Артур</t>
  </si>
  <si>
    <t>Open (23.04.1985)/31</t>
  </si>
  <si>
    <t>0,7186</t>
  </si>
  <si>
    <t>205</t>
  </si>
  <si>
    <t>147,3130</t>
  </si>
  <si>
    <t xml:space="preserve">Адысев Дмитрий </t>
  </si>
  <si>
    <t>0,7235</t>
  </si>
  <si>
    <t>170</t>
  </si>
  <si>
    <t>122,9950</t>
  </si>
  <si>
    <t>97,9682</t>
  </si>
  <si>
    <t>107,6400</t>
  </si>
  <si>
    <t>Письменный Сергей</t>
  </si>
  <si>
    <t>Master 60-69 (12.12.1952)/63</t>
  </si>
  <si>
    <t>122,3077</t>
  </si>
  <si>
    <t>Пономарев Ник</t>
  </si>
  <si>
    <t>83,7375</t>
  </si>
  <si>
    <t>Аржаков Даниил</t>
  </si>
  <si>
    <t>Junior (08.08.1995)/21</t>
  </si>
  <si>
    <t>122,2568</t>
  </si>
  <si>
    <t>Штурмин Артем</t>
  </si>
  <si>
    <t>Junior (27.08.1994)/22</t>
  </si>
  <si>
    <t>155</t>
  </si>
  <si>
    <t>105,0745</t>
  </si>
  <si>
    <t>Югай Владимир</t>
  </si>
  <si>
    <t>Open (10.10.1987)/29</t>
  </si>
  <si>
    <t xml:space="preserve">Караганда/Карагандинская область </t>
  </si>
  <si>
    <t>146,7907</t>
  </si>
  <si>
    <t>Miksa Artur</t>
  </si>
  <si>
    <t>Open (26.09.1983)/33</t>
  </si>
  <si>
    <t>Польша</t>
  </si>
  <si>
    <t>210</t>
  </si>
  <si>
    <t>140,7840</t>
  </si>
  <si>
    <t xml:space="preserve">Wieslaw Ostrowski </t>
  </si>
  <si>
    <t>Белоусов Петр</t>
  </si>
  <si>
    <t>Open (09.06.1989)/27</t>
  </si>
  <si>
    <t>0,6714</t>
  </si>
  <si>
    <t>175</t>
  </si>
  <si>
    <t>117,4950</t>
  </si>
  <si>
    <t>Трофимов Дмитрий</t>
  </si>
  <si>
    <t>Open (12.09.1972)/44</t>
  </si>
  <si>
    <t>117,3200</t>
  </si>
  <si>
    <t>0,6759</t>
  </si>
  <si>
    <t>99,6952</t>
  </si>
  <si>
    <t xml:space="preserve">Бобров Дмитрий  </t>
  </si>
  <si>
    <t>0,7029</t>
  </si>
  <si>
    <t>86,1052</t>
  </si>
  <si>
    <t>Яневич Дмитрий</t>
  </si>
  <si>
    <t>Master 40-49 (25.03.1974)/42</t>
  </si>
  <si>
    <t xml:space="preserve">Полоцк/Витебская область </t>
  </si>
  <si>
    <t>135,0587</t>
  </si>
  <si>
    <t>Master 40-49 (12.09.1972)/44</t>
  </si>
  <si>
    <t>122,4821</t>
  </si>
  <si>
    <t>Показанов Никита</t>
  </si>
  <si>
    <t>Sub Junior 17-19 (14.11.1997)/19</t>
  </si>
  <si>
    <t>87,00</t>
  </si>
  <si>
    <t>0,6499</t>
  </si>
  <si>
    <t>110,4830</t>
  </si>
  <si>
    <t>Коробков Виталий</t>
  </si>
  <si>
    <t>Sub Junior 17-19 (29.05.1997)/19</t>
  </si>
  <si>
    <t>86,60</t>
  </si>
  <si>
    <t>0,6515</t>
  </si>
  <si>
    <t>104,2400</t>
  </si>
  <si>
    <t>Лукьянов Богдан</t>
  </si>
  <si>
    <t>Sub Junior 17-19 (02.10.1998)/18</t>
  </si>
  <si>
    <t>0,6532</t>
  </si>
  <si>
    <t>81,6500</t>
  </si>
  <si>
    <t xml:space="preserve">Лукьянов А.А. </t>
  </si>
  <si>
    <t xml:space="preserve">Показанов.Д.Н </t>
  </si>
  <si>
    <t>Жаворонков Алексей</t>
  </si>
  <si>
    <t>Junior (23.08.1996)/20</t>
  </si>
  <si>
    <t>86,40</t>
  </si>
  <si>
    <t>0,6523</t>
  </si>
  <si>
    <t xml:space="preserve">Новомосковск/Тульская область </t>
  </si>
  <si>
    <t>136,9830</t>
  </si>
  <si>
    <t>Стасюк Артем</t>
  </si>
  <si>
    <t>Junior (30.05.1993)/23</t>
  </si>
  <si>
    <t>88,40</t>
  </si>
  <si>
    <t>0,6444</t>
  </si>
  <si>
    <t xml:space="preserve">Севастополь/Республика Крым </t>
  </si>
  <si>
    <t>135,3240</t>
  </si>
  <si>
    <t>Вязович Григорий</t>
  </si>
  <si>
    <t>200</t>
  </si>
  <si>
    <t>128,4200</t>
  </si>
  <si>
    <t>Спиридонов Степан</t>
  </si>
  <si>
    <t>Junior (21.12.1993)/22</t>
  </si>
  <si>
    <t>87,50</t>
  </si>
  <si>
    <t>0,6479</t>
  </si>
  <si>
    <t>190</t>
  </si>
  <si>
    <t>123,1010</t>
  </si>
  <si>
    <t xml:space="preserve">Румянцев С. </t>
  </si>
  <si>
    <t>Летлян Вячеслав</t>
  </si>
  <si>
    <t>Open (22.02.1987)/29</t>
  </si>
  <si>
    <t>0,6549</t>
  </si>
  <si>
    <t xml:space="preserve">Рига/ </t>
  </si>
  <si>
    <t>231,0</t>
  </si>
  <si>
    <t>148,9898</t>
  </si>
  <si>
    <t>Никитин Денис</t>
  </si>
  <si>
    <t>Open (19.05.1988)/28</t>
  </si>
  <si>
    <t>143,7128</t>
  </si>
  <si>
    <t>Акиньшин Павел</t>
  </si>
  <si>
    <t>Open (29.04.1986)/30</t>
  </si>
  <si>
    <t>0,6410</t>
  </si>
  <si>
    <t>215</t>
  </si>
  <si>
    <t>137,8150</t>
  </si>
  <si>
    <t>Мартиненко Роман</t>
  </si>
  <si>
    <t>Open (12.11.1990)/26</t>
  </si>
  <si>
    <t xml:space="preserve">Новый Роздал/ </t>
  </si>
  <si>
    <t>136,8150</t>
  </si>
  <si>
    <t>Мисюрин Григорий</t>
  </si>
  <si>
    <t>Open (07.01.1983)/33</t>
  </si>
  <si>
    <t>0,6428</t>
  </si>
  <si>
    <t>128,5600</t>
  </si>
  <si>
    <t>Алиев Владимир</t>
  </si>
  <si>
    <t>Open (26.01.1992)/24</t>
  </si>
  <si>
    <t xml:space="preserve">Макеевка/Донецкая область </t>
  </si>
  <si>
    <t>123,3925</t>
  </si>
  <si>
    <t xml:space="preserve">Мельников Николай </t>
  </si>
  <si>
    <t>Любуцин Александр</t>
  </si>
  <si>
    <t>Open (15.07.1977)/39</t>
  </si>
  <si>
    <t>0,6447</t>
  </si>
  <si>
    <t>112,8225</t>
  </si>
  <si>
    <t xml:space="preserve">Никитенко Михаил </t>
  </si>
  <si>
    <t>Open (14.11.1997)/19</t>
  </si>
  <si>
    <t>108,8340</t>
  </si>
  <si>
    <t>Сидоров Дмитрий</t>
  </si>
  <si>
    <t>Open (29.03.1988)/28</t>
  </si>
  <si>
    <t>0,6424</t>
  </si>
  <si>
    <t xml:space="preserve">Сызрань/Самарская область </t>
  </si>
  <si>
    <t>150</t>
  </si>
  <si>
    <t>96,3600</t>
  </si>
  <si>
    <t>Обыденков Олег</t>
  </si>
  <si>
    <t>Open (08.08.1986)/30</t>
  </si>
  <si>
    <t>84,90</t>
  </si>
  <si>
    <t>0,6588</t>
  </si>
  <si>
    <t>140</t>
  </si>
  <si>
    <t>92,2320</t>
  </si>
  <si>
    <t>Корчагин Олег</t>
  </si>
  <si>
    <t>Open (24.10.1973)/42</t>
  </si>
  <si>
    <t>Open (23.08.1996)/19</t>
  </si>
  <si>
    <t xml:space="preserve">Калягин Д. </t>
  </si>
  <si>
    <t>Латышев Андрей</t>
  </si>
  <si>
    <t>Master 40-49 (16.04.1973)/43</t>
  </si>
  <si>
    <t>0,6391</t>
  </si>
  <si>
    <t>124,8290</t>
  </si>
  <si>
    <t xml:space="preserve">Шаруева Р. </t>
  </si>
  <si>
    <t>Ходунов Сергей</t>
  </si>
  <si>
    <t>Master 40-49 (23.10.1968)/48</t>
  </si>
  <si>
    <t>86,00</t>
  </si>
  <si>
    <t>0,6540</t>
  </si>
  <si>
    <t xml:space="preserve">Кореновск/Краснодарский край </t>
  </si>
  <si>
    <t>185</t>
  </si>
  <si>
    <t>134,7829</t>
  </si>
  <si>
    <t>Якушин Андрей</t>
  </si>
  <si>
    <t>Master 40-49 (12.12.1973)/42</t>
  </si>
  <si>
    <t xml:space="preserve">Симферополь/Республика  Крым </t>
  </si>
  <si>
    <t>121,1644</t>
  </si>
  <si>
    <t xml:space="preserve">Павлодар/Павлодарская область </t>
  </si>
  <si>
    <t>100</t>
  </si>
  <si>
    <t>79,9551</t>
  </si>
  <si>
    <t>Мирзоев Гасан</t>
  </si>
  <si>
    <t>Master 50-59 (28.04.1964)/52</t>
  </si>
  <si>
    <t>46,1149</t>
  </si>
  <si>
    <t>Брежнев Алексей</t>
  </si>
  <si>
    <t>Junior (06.10.1993)/23</t>
  </si>
  <si>
    <t>123,2415</t>
  </si>
  <si>
    <t xml:space="preserve">Филиппов Андрей </t>
  </si>
  <si>
    <t>Чернов Дмитрий</t>
  </si>
  <si>
    <t>Junior (08.11.1995)/21</t>
  </si>
  <si>
    <t>114,1820</t>
  </si>
  <si>
    <t>Коробов Илья</t>
  </si>
  <si>
    <t>Junior (31.05.1993)/23</t>
  </si>
  <si>
    <t>180</t>
  </si>
  <si>
    <t>109,8180</t>
  </si>
  <si>
    <t>Королёв Дмитрий</t>
  </si>
  <si>
    <t>Junior (25.03.1993)/23</t>
  </si>
  <si>
    <t>0,6108</t>
  </si>
  <si>
    <t>Ревяко Александр</t>
  </si>
  <si>
    <t>Open (16.06.1985)/31</t>
  </si>
  <si>
    <t>99,70</t>
  </si>
  <si>
    <t>0,6093</t>
  </si>
  <si>
    <t>147,7553</t>
  </si>
  <si>
    <t>Жаченков Александр</t>
  </si>
  <si>
    <t>Open (30.07.1981)/35</t>
  </si>
  <si>
    <t xml:space="preserve">Протвино/Московская область </t>
  </si>
  <si>
    <t>144,5425</t>
  </si>
  <si>
    <t>Шатило Алексей</t>
  </si>
  <si>
    <t>Open (19.04.1986)/30</t>
  </si>
  <si>
    <t>0,6113</t>
  </si>
  <si>
    <t xml:space="preserve">Гомель/Гомельская область </t>
  </si>
  <si>
    <t>235</t>
  </si>
  <si>
    <t>143,6555</t>
  </si>
  <si>
    <t>Маудинов Батыр</t>
  </si>
  <si>
    <t>Open (25.09.1975)/41</t>
  </si>
  <si>
    <t>130,4310</t>
  </si>
  <si>
    <t>Абрамов Евгений</t>
  </si>
  <si>
    <t>Open (11.10.1978)/38</t>
  </si>
  <si>
    <t>0,6161</t>
  </si>
  <si>
    <t xml:space="preserve">Лосино-Петровский/Московская область </t>
  </si>
  <si>
    <t>129,3810</t>
  </si>
  <si>
    <t>Бондарев Евгений</t>
  </si>
  <si>
    <t>Open (21.09.1985)/31</t>
  </si>
  <si>
    <t>97,90</t>
  </si>
  <si>
    <t>0,6139</t>
  </si>
  <si>
    <t>128,9190</t>
  </si>
  <si>
    <t>Кожевин Александр</t>
  </si>
  <si>
    <t>Open (18.05.1979)/37</t>
  </si>
  <si>
    <t>122,7200</t>
  </si>
  <si>
    <t>Федоренко Роман</t>
  </si>
  <si>
    <t>Open (28.05.1988)/28</t>
  </si>
  <si>
    <t>117,0970</t>
  </si>
  <si>
    <t xml:space="preserve">Материкин О. </t>
  </si>
  <si>
    <t>Чмиревский Михаил</t>
  </si>
  <si>
    <t>Open (18.01.1978)/38</t>
  </si>
  <si>
    <t>115,6250</t>
  </si>
  <si>
    <t>Ногай Алексей</t>
  </si>
  <si>
    <t>Open (22.12.1985)/30</t>
  </si>
  <si>
    <t>94,60</t>
  </si>
  <si>
    <t>0,6232</t>
  </si>
  <si>
    <t>112,1760</t>
  </si>
  <si>
    <t>Yazichyan Hovhannes</t>
  </si>
  <si>
    <t>Master 40-49 (08.05.1971)/45</t>
  </si>
  <si>
    <t>95,40</t>
  </si>
  <si>
    <t>0,6209</t>
  </si>
  <si>
    <t>139,8577</t>
  </si>
  <si>
    <t xml:space="preserve">Tomasz Anrzejczak </t>
  </si>
  <si>
    <t>Master 40-49 (25.09.1975)/41</t>
  </si>
  <si>
    <t>131,0832</t>
  </si>
  <si>
    <t>Постнов Владимир</t>
  </si>
  <si>
    <t>Master 40-49 (21.04.1970)/46</t>
  </si>
  <si>
    <t>92,50</t>
  </si>
  <si>
    <t>0,6298</t>
  </si>
  <si>
    <t xml:space="preserve">Сердобск/Пензенская область </t>
  </si>
  <si>
    <t>195</t>
  </si>
  <si>
    <t>132,3903</t>
  </si>
  <si>
    <t>Андрис Виктор</t>
  </si>
  <si>
    <t>Master 40-49 (26.11.1974)/41</t>
  </si>
  <si>
    <t>120,3091</t>
  </si>
  <si>
    <t>Алиев Натиг</t>
  </si>
  <si>
    <t>Master 50-59 (07.02.1964)/52</t>
  </si>
  <si>
    <t xml:space="preserve">Азербайджан </t>
  </si>
  <si>
    <t xml:space="preserve">Баку/ </t>
  </si>
  <si>
    <t>140,9159</t>
  </si>
  <si>
    <t>Павловец Владимир</t>
  </si>
  <si>
    <t>Master 50-59 (22.04.1964)/52</t>
  </si>
  <si>
    <t>0,6338</t>
  </si>
  <si>
    <t>126,0137</t>
  </si>
  <si>
    <t>0,6103</t>
  </si>
  <si>
    <t>156,0</t>
  </si>
  <si>
    <t>115,9082</t>
  </si>
  <si>
    <t>Хроменков Алексей</t>
  </si>
  <si>
    <t>Master 50-59 (02.10.1957)/59</t>
  </si>
  <si>
    <t>106,8093</t>
  </si>
  <si>
    <t>Маслов Николай</t>
  </si>
  <si>
    <t>Master 70-79 (20.05.1946)/70</t>
  </si>
  <si>
    <t>110</t>
  </si>
  <si>
    <t>114,8554</t>
  </si>
  <si>
    <t>Master 40-49 (11.11.1976)/40</t>
  </si>
  <si>
    <t>100,10</t>
  </si>
  <si>
    <t>0,6083</t>
  </si>
  <si>
    <t xml:space="preserve">Zlotoryja/Dolnyslask </t>
  </si>
  <si>
    <t>220</t>
  </si>
  <si>
    <t>133,8260</t>
  </si>
  <si>
    <t>Полутин Сергей</t>
  </si>
  <si>
    <t>Master 40-49 (17.08.1975)/41</t>
  </si>
  <si>
    <t>0,5933</t>
  </si>
  <si>
    <t xml:space="preserve">Красноперекопск/Крым </t>
  </si>
  <si>
    <t>131,1786</t>
  </si>
  <si>
    <t>Дмитриев Эдуард</t>
  </si>
  <si>
    <t>Master 40-49 (26.05.1972)/44</t>
  </si>
  <si>
    <t>107,90</t>
  </si>
  <si>
    <t>0,5921</t>
  </si>
  <si>
    <t>132,9028</t>
  </si>
  <si>
    <t>Berman Iakov</t>
  </si>
  <si>
    <t>Master 40-49 (22.06.1972)/44</t>
  </si>
  <si>
    <t>0,5885</t>
  </si>
  <si>
    <t>Израиль</t>
  </si>
  <si>
    <t xml:space="preserve">Izrael </t>
  </si>
  <si>
    <t>125,9508</t>
  </si>
  <si>
    <t>Галахов Александр</t>
  </si>
  <si>
    <t>Master 40-49 (21.05.1971)/45</t>
  </si>
  <si>
    <t>105,90</t>
  </si>
  <si>
    <t>0,5958</t>
  </si>
  <si>
    <t xml:space="preserve">Орск/Оренбургская область </t>
  </si>
  <si>
    <t>119,9941</t>
  </si>
  <si>
    <t xml:space="preserve">Калиниченко Владимир </t>
  </si>
  <si>
    <t>Лезин Александр</t>
  </si>
  <si>
    <t>Master 40-49 (06.06.1970)/46</t>
  </si>
  <si>
    <t>106,00</t>
  </si>
  <si>
    <t>0,5956</t>
  </si>
  <si>
    <t>115,5702</t>
  </si>
  <si>
    <t>Арапов Евгений</t>
  </si>
  <si>
    <t>Master 50-59 (19.05.1963)/53</t>
  </si>
  <si>
    <t>109,60</t>
  </si>
  <si>
    <t>0,5892</t>
  </si>
  <si>
    <t>161,7899</t>
  </si>
  <si>
    <t>161,5977</t>
  </si>
  <si>
    <t>Прокопов Михаил</t>
  </si>
  <si>
    <t>Master 60-69 (10.06.1956)/60</t>
  </si>
  <si>
    <t>100,50</t>
  </si>
  <si>
    <t>0,6074</t>
  </si>
  <si>
    <t>129,9229</t>
  </si>
  <si>
    <t>101,60</t>
  </si>
  <si>
    <t>0,6048</t>
  </si>
  <si>
    <t>116,8474</t>
  </si>
  <si>
    <t>Зайцев Владимир</t>
  </si>
  <si>
    <t>Master 60-69 (02.11.1949)/67</t>
  </si>
  <si>
    <t>135</t>
  </si>
  <si>
    <t>130,3919</t>
  </si>
  <si>
    <t>Михаил Нагайбаков</t>
  </si>
  <si>
    <t>Master 60-69 (25.03.1953)/63</t>
  </si>
  <si>
    <t>0,5919</t>
  </si>
  <si>
    <t xml:space="preserve">Сивоконь Алексей </t>
  </si>
  <si>
    <t>Чемпионат мира WRPF                                                                                                                                                           Любители - жим лежа СФО
18 ноября 2016</t>
  </si>
  <si>
    <t>Чемпионат мира WRPF                                                                                                                                                           Любители - жим лежа 
17 - 18 ноября 2016</t>
  </si>
  <si>
    <t>Ефимова Анна</t>
  </si>
  <si>
    <t>Junior (22.12.1992)/23</t>
  </si>
  <si>
    <t>51,20</t>
  </si>
  <si>
    <t>1,2616</t>
  </si>
  <si>
    <t>123,0060</t>
  </si>
  <si>
    <t xml:space="preserve">Акимов Денис </t>
  </si>
  <si>
    <t>Галактионова Маргарита</t>
  </si>
  <si>
    <t>Open (01.03.1991)/25</t>
  </si>
  <si>
    <t>1,2654</t>
  </si>
  <si>
    <t>177,1560</t>
  </si>
  <si>
    <t>Open (16.11.1985)/31</t>
  </si>
  <si>
    <t>155,9425</t>
  </si>
  <si>
    <t>Open (22.12.1992)/23</t>
  </si>
  <si>
    <t>214,4550</t>
  </si>
  <si>
    <t>Сазонова Алина</t>
  </si>
  <si>
    <t>Open (10.10.1988)/28</t>
  </si>
  <si>
    <t>1,1401</t>
  </si>
  <si>
    <t>171,0150</t>
  </si>
  <si>
    <t>151,6840</t>
  </si>
  <si>
    <t>Лимушкина Светлана</t>
  </si>
  <si>
    <t>59,40</t>
  </si>
  <si>
    <t>1,1236</t>
  </si>
  <si>
    <t xml:space="preserve">Ярославль/Ярославская область </t>
  </si>
  <si>
    <t>146,0680</t>
  </si>
  <si>
    <t xml:space="preserve">Серебряков Кирилл </t>
  </si>
  <si>
    <t>143,9620</t>
  </si>
  <si>
    <t>210,5</t>
  </si>
  <si>
    <t>191,7510</t>
  </si>
  <si>
    <t>173,0140</t>
  </si>
  <si>
    <t>Старикова Наталья</t>
  </si>
  <si>
    <t>Open (13.09.1982)/34</t>
  </si>
  <si>
    <t>0,8751</t>
  </si>
  <si>
    <t xml:space="preserve">Керчь/Республика Крым </t>
  </si>
  <si>
    <t>181,5833</t>
  </si>
  <si>
    <t>Валиуллина Валерия</t>
  </si>
  <si>
    <t>Open (03.01.1986)/30</t>
  </si>
  <si>
    <t>93,90</t>
  </si>
  <si>
    <t>0,8499</t>
  </si>
  <si>
    <t>127,4850</t>
  </si>
  <si>
    <t>Никонов Денис</t>
  </si>
  <si>
    <t>63,40</t>
  </si>
  <si>
    <t>0,8122</t>
  </si>
  <si>
    <t>105,5860</t>
  </si>
  <si>
    <t>Громов Дмитрий</t>
  </si>
  <si>
    <t>Open (13.04.1987)/29</t>
  </si>
  <si>
    <t>0,7152</t>
  </si>
  <si>
    <t>184,1640</t>
  </si>
  <si>
    <t>Елисеев Павел</t>
  </si>
  <si>
    <t>250</t>
  </si>
  <si>
    <t>178,9750</t>
  </si>
  <si>
    <t>Петров Никита</t>
  </si>
  <si>
    <t>72,10</t>
  </si>
  <si>
    <t>0,7330</t>
  </si>
  <si>
    <t>144,7675</t>
  </si>
  <si>
    <t>113,9630</t>
  </si>
  <si>
    <t>144,9000</t>
  </si>
  <si>
    <t>133,9800</t>
  </si>
  <si>
    <t>Федонин Владислав</t>
  </si>
  <si>
    <t>Junior (23.09.1995)/21</t>
  </si>
  <si>
    <t xml:space="preserve">Трёхгорный/Челябинская область </t>
  </si>
  <si>
    <t>144,8885</t>
  </si>
  <si>
    <t xml:space="preserve">Бабин Владимир, Кокляев Михаил </t>
  </si>
  <si>
    <t>0,6795</t>
  </si>
  <si>
    <t>297,5</t>
  </si>
  <si>
    <t>306,0</t>
  </si>
  <si>
    <t>202,1512</t>
  </si>
  <si>
    <t>270</t>
  </si>
  <si>
    <t>182,2230</t>
  </si>
  <si>
    <t>260</t>
  </si>
  <si>
    <t>174,3040</t>
  </si>
  <si>
    <t>157,5440</t>
  </si>
  <si>
    <t>164,4759</t>
  </si>
  <si>
    <t>139,7285</t>
  </si>
  <si>
    <t xml:space="preserve">Показанов Д. </t>
  </si>
  <si>
    <t>161,8750</t>
  </si>
  <si>
    <t>Бабин Владимир</t>
  </si>
  <si>
    <t>Open (09.08.1992)/24</t>
  </si>
  <si>
    <t>340,0</t>
  </si>
  <si>
    <t>360,0</t>
  </si>
  <si>
    <t>370,0</t>
  </si>
  <si>
    <t>360</t>
  </si>
  <si>
    <t>232,0920</t>
  </si>
  <si>
    <t>330</t>
  </si>
  <si>
    <t>210,6720</t>
  </si>
  <si>
    <t>Федоров Илья</t>
  </si>
  <si>
    <t>Open (29.08.1992)/24</t>
  </si>
  <si>
    <t xml:space="preserve">Наро-Фоминск/Московская область </t>
  </si>
  <si>
    <t>312,5</t>
  </si>
  <si>
    <t>207,9157</t>
  </si>
  <si>
    <t xml:space="preserve">Бунтов Д. </t>
  </si>
  <si>
    <t>Климович Александр</t>
  </si>
  <si>
    <t>Open (28.05.1980)/36</t>
  </si>
  <si>
    <t>Наро-Фоминск/Московская область</t>
  </si>
  <si>
    <t>290</t>
  </si>
  <si>
    <t>186,2090</t>
  </si>
  <si>
    <t>Афонин Алексей</t>
  </si>
  <si>
    <t>Open (20.01.1992)/24</t>
  </si>
  <si>
    <t>Хомов Евгений</t>
  </si>
  <si>
    <t>Open (15.07.1982)/34</t>
  </si>
  <si>
    <t xml:space="preserve">Лукьянов Сергей </t>
  </si>
  <si>
    <t>Бояринцев Алексей</t>
  </si>
  <si>
    <t>Open (02.01.1989)/27</t>
  </si>
  <si>
    <t>174,5323</t>
  </si>
  <si>
    <t>Зайцев Вадим</t>
  </si>
  <si>
    <t>Master 50-59 (26.08.1960)/56</t>
  </si>
  <si>
    <t>203,9982</t>
  </si>
  <si>
    <t>Курбасов Владимир</t>
  </si>
  <si>
    <t>Master 50-59 (06.06.1959)/57</t>
  </si>
  <si>
    <t xml:space="preserve">Узловая/Тульская область </t>
  </si>
  <si>
    <t>162,9784</t>
  </si>
  <si>
    <t>143,9191</t>
  </si>
  <si>
    <t>122,9732</t>
  </si>
  <si>
    <t>Алиев Эмиль</t>
  </si>
  <si>
    <t>Sub Junior 17-19 (20.11.1996)/19</t>
  </si>
  <si>
    <t>174,3590</t>
  </si>
  <si>
    <t>Dombrovskis Oskars</t>
  </si>
  <si>
    <t>Junior (15.01.1993)/23</t>
  </si>
  <si>
    <t xml:space="preserve">Riga </t>
  </si>
  <si>
    <t>240</t>
  </si>
  <si>
    <t>148,3200</t>
  </si>
  <si>
    <t>Кравченко Евгений</t>
  </si>
  <si>
    <t>Open (03.11.1986)/30</t>
  </si>
  <si>
    <t>0,6254</t>
  </si>
  <si>
    <t>350,0</t>
  </si>
  <si>
    <t>340</t>
  </si>
  <si>
    <t>212,6360</t>
  </si>
  <si>
    <t>Булгарь Андрей</t>
  </si>
  <si>
    <t>Open (27.06.1988)/28</t>
  </si>
  <si>
    <t xml:space="preserve">Рыбное/Рязанская область </t>
  </si>
  <si>
    <t>320</t>
  </si>
  <si>
    <t>196,1280</t>
  </si>
  <si>
    <t xml:space="preserve">Самостоятельно </t>
  </si>
  <si>
    <t>Гукетлов Марат</t>
  </si>
  <si>
    <t>Open (03.11.1990)/26</t>
  </si>
  <si>
    <t>94,50</t>
  </si>
  <si>
    <t>0,6235</t>
  </si>
  <si>
    <t xml:space="preserve">Баксан/Кабардино-Балкария </t>
  </si>
  <si>
    <t>310</t>
  </si>
  <si>
    <t>193,2850</t>
  </si>
  <si>
    <t xml:space="preserve">Хашпаков М. </t>
  </si>
  <si>
    <t>Вербицкий Михаил</t>
  </si>
  <si>
    <t>Open (31.07.1951)/65</t>
  </si>
  <si>
    <t>92,30</t>
  </si>
  <si>
    <t>0,6305</t>
  </si>
  <si>
    <t>184,4213</t>
  </si>
  <si>
    <t xml:space="preserve">Булавский </t>
  </si>
  <si>
    <t>Жулин Алексей</t>
  </si>
  <si>
    <t>Open (12.01.1992)/24</t>
  </si>
  <si>
    <t>280</t>
  </si>
  <si>
    <t>172,1160</t>
  </si>
  <si>
    <t>154,8500</t>
  </si>
  <si>
    <t>Константинов Роман</t>
  </si>
  <si>
    <t>Open (26.03.1984)/32</t>
  </si>
  <si>
    <t>0,6118</t>
  </si>
  <si>
    <t>152,9500</t>
  </si>
  <si>
    <t>Кодис Александр</t>
  </si>
  <si>
    <t>Open (16.08.1987)/29</t>
  </si>
  <si>
    <t>0,6166</t>
  </si>
  <si>
    <t xml:space="preserve">Гродно/Гродненская область </t>
  </si>
  <si>
    <t>335,0</t>
  </si>
  <si>
    <t>Ступин Сергей</t>
  </si>
  <si>
    <t>Open (11.01.1983)/33</t>
  </si>
  <si>
    <t>Любимов Вячеслав</t>
  </si>
  <si>
    <t>Master 40-49 (15.08.1971)/45</t>
  </si>
  <si>
    <t xml:space="preserve">Богородск/Нижегородская область </t>
  </si>
  <si>
    <t>265</t>
  </si>
  <si>
    <t>178,0344</t>
  </si>
  <si>
    <t>Master 40-49 (20.12.1967)/48</t>
  </si>
  <si>
    <t>96,20</t>
  </si>
  <si>
    <t>0,6186</t>
  </si>
  <si>
    <t>225</t>
  </si>
  <si>
    <t>155,0521</t>
  </si>
  <si>
    <t>Басецкий Дмитрий</t>
  </si>
  <si>
    <t>Master 50-59 (21.10.1964)/52</t>
  </si>
  <si>
    <t>93,10</t>
  </si>
  <si>
    <t>0,6279</t>
  </si>
  <si>
    <t xml:space="preserve">Солнечногорск/Московская облас </t>
  </si>
  <si>
    <t>193,7825</t>
  </si>
  <si>
    <t>217,3041</t>
  </si>
  <si>
    <t>245</t>
  </si>
  <si>
    <t>196,6330</t>
  </si>
  <si>
    <t>Master 60-69 (31.07.1951)/65</t>
  </si>
  <si>
    <t>282,7178</t>
  </si>
  <si>
    <t>Чемпионат мира WRPF                                                                                                                                                           Любители - тяга 
17 - 18 ноября 2016</t>
  </si>
  <si>
    <t>Кольцов Павел</t>
  </si>
  <si>
    <t>Junior (11.08.1993)/23</t>
  </si>
  <si>
    <t>0,5976</t>
  </si>
  <si>
    <t>155,3760</t>
  </si>
  <si>
    <t>Guliev Bakhtiyar</t>
  </si>
  <si>
    <t>Open (17.12.1975)/40</t>
  </si>
  <si>
    <t>105,60</t>
  </si>
  <si>
    <t>0,5964</t>
  </si>
  <si>
    <t xml:space="preserve">Азейбарджан </t>
  </si>
  <si>
    <t>355,0</t>
  </si>
  <si>
    <t>365,0</t>
  </si>
  <si>
    <t>355</t>
  </si>
  <si>
    <t>211,7220</t>
  </si>
  <si>
    <t>Виноградов Олег</t>
  </si>
  <si>
    <t>Open (09.06.1990)/26</t>
  </si>
  <si>
    <t>103,80</t>
  </si>
  <si>
    <t>0,6000</t>
  </si>
  <si>
    <t>204,0000</t>
  </si>
  <si>
    <t>Муравьев Сергей</t>
  </si>
  <si>
    <t>Open (28.12.1975)/40</t>
  </si>
  <si>
    <t>108,90</t>
  </si>
  <si>
    <t>0,5903</t>
  </si>
  <si>
    <t>307,5</t>
  </si>
  <si>
    <t>305</t>
  </si>
  <si>
    <t>180,0415</t>
  </si>
  <si>
    <t>Чаленко Сергей</t>
  </si>
  <si>
    <t>Open (06.11.1991)/25</t>
  </si>
  <si>
    <t>179,7060</t>
  </si>
  <si>
    <t>Мышонков Евгений</t>
  </si>
  <si>
    <t>Open (31.08.1983)/33</t>
  </si>
  <si>
    <t>300</t>
  </si>
  <si>
    <t>177,5700</t>
  </si>
  <si>
    <t>Batmagnai Gansukh</t>
  </si>
  <si>
    <t>Open (19.06.1988)/28</t>
  </si>
  <si>
    <t>0,5897</t>
  </si>
  <si>
    <t>295</t>
  </si>
  <si>
    <t>173,9615</t>
  </si>
  <si>
    <t>Wilflingseden Juergen</t>
  </si>
  <si>
    <t>Open (29.05.1981)/35</t>
  </si>
  <si>
    <t>104,80</t>
  </si>
  <si>
    <t>0,5980</t>
  </si>
  <si>
    <t xml:space="preserve">Astara/ </t>
  </si>
  <si>
    <t>168,9350</t>
  </si>
  <si>
    <t>Щеткин Дмитрий</t>
  </si>
  <si>
    <t>Open (23.08.1982)/34</t>
  </si>
  <si>
    <t>104,60</t>
  </si>
  <si>
    <t>0,5984</t>
  </si>
  <si>
    <t>161,5680</t>
  </si>
  <si>
    <t>Master 40-49 (28.12.1975)/40</t>
  </si>
  <si>
    <t>Щербаков Валерий</t>
  </si>
  <si>
    <t>Master 40-49 (28.08.1973)/43</t>
  </si>
  <si>
    <t>101,00</t>
  </si>
  <si>
    <t>0,6062</t>
  </si>
  <si>
    <t>174,4886</t>
  </si>
  <si>
    <t>156,6167</t>
  </si>
  <si>
    <t>Бернецкий Владислав</t>
  </si>
  <si>
    <t>Junior (21.08.1993)/23</t>
  </si>
  <si>
    <t>116,20</t>
  </si>
  <si>
    <t>0,5795</t>
  </si>
  <si>
    <t>340,5</t>
  </si>
  <si>
    <t>345,0</t>
  </si>
  <si>
    <t>197,0300</t>
  </si>
  <si>
    <t>Клопков Илья</t>
  </si>
  <si>
    <t>Junior (03.05.1994)/22</t>
  </si>
  <si>
    <t>119,00</t>
  </si>
  <si>
    <t>0,5761</t>
  </si>
  <si>
    <t xml:space="preserve">Петровск/Саратовская область </t>
  </si>
  <si>
    <t>195,8740</t>
  </si>
  <si>
    <t>Марченко Владимир</t>
  </si>
  <si>
    <t>Open (19.10.1984)/32</t>
  </si>
  <si>
    <t>123,50</t>
  </si>
  <si>
    <t>0,5713</t>
  </si>
  <si>
    <t>375,0</t>
  </si>
  <si>
    <t>375</t>
  </si>
  <si>
    <t>214,2375</t>
  </si>
  <si>
    <t>Милов Денис</t>
  </si>
  <si>
    <t>Open (13.04.1989)/27</t>
  </si>
  <si>
    <t>120,70</t>
  </si>
  <si>
    <t>0,5742</t>
  </si>
  <si>
    <t>337,5</t>
  </si>
  <si>
    <t>193,7925</t>
  </si>
  <si>
    <t>Open (24.04.1980)/36</t>
  </si>
  <si>
    <t>113,90</t>
  </si>
  <si>
    <t>0,5826</t>
  </si>
  <si>
    <t>335</t>
  </si>
  <si>
    <t>195,1710</t>
  </si>
  <si>
    <t>Cirulis Ivars</t>
  </si>
  <si>
    <t>Open (26.11.1979)/36</t>
  </si>
  <si>
    <t>112,60</t>
  </si>
  <si>
    <t>0,5844</t>
  </si>
  <si>
    <t>342,5</t>
  </si>
  <si>
    <t>192,8520</t>
  </si>
  <si>
    <t>Лученков Сергей</t>
  </si>
  <si>
    <t>Open (24.05.1977)/39</t>
  </si>
  <si>
    <t>124,80</t>
  </si>
  <si>
    <t>0,5700</t>
  </si>
  <si>
    <t>183,8250</t>
  </si>
  <si>
    <t>Тарасов Александр</t>
  </si>
  <si>
    <t>Open (27.10.1991)/25</t>
  </si>
  <si>
    <t>116,70</t>
  </si>
  <si>
    <t>0,5788</t>
  </si>
  <si>
    <t>167,8520</t>
  </si>
  <si>
    <t>Пальшин Леонид</t>
  </si>
  <si>
    <t>Master 40-49 (22.03.1970)/46</t>
  </si>
  <si>
    <t>0,5792</t>
  </si>
  <si>
    <t>152,9725</t>
  </si>
  <si>
    <t>Дубровский Павел</t>
  </si>
  <si>
    <t>Master 60-69 (04.05.1956)/60</t>
  </si>
  <si>
    <t>121,50</t>
  </si>
  <si>
    <t>0,5733</t>
  </si>
  <si>
    <t>158,2308</t>
  </si>
  <si>
    <t>Семенец Сергей</t>
  </si>
  <si>
    <t>Open (29.12.1977)/38</t>
  </si>
  <si>
    <t>134,20</t>
  </si>
  <si>
    <t>0,5625</t>
  </si>
  <si>
    <t>202,5000</t>
  </si>
  <si>
    <t>Бесчеров Дмитрий</t>
  </si>
  <si>
    <t>Open (30.01.1991)/25</t>
  </si>
  <si>
    <t>146,50</t>
  </si>
  <si>
    <t>0,5551</t>
  </si>
  <si>
    <t>188,7340</t>
  </si>
  <si>
    <t>Калинин Михаил</t>
  </si>
  <si>
    <t>Open (13.01.1981)/35</t>
  </si>
  <si>
    <t>166,00</t>
  </si>
  <si>
    <t>0,5452</t>
  </si>
  <si>
    <t>152,6560</t>
  </si>
  <si>
    <t xml:space="preserve">67,5 </t>
  </si>
  <si>
    <t>Австрия</t>
  </si>
  <si>
    <t>Нагайбаков Михаил</t>
  </si>
  <si>
    <t>Муравьев Е.</t>
  </si>
  <si>
    <t>Никитенко М.</t>
  </si>
  <si>
    <t xml:space="preserve">Сивокон А. </t>
  </si>
  <si>
    <t>Лагань/</t>
  </si>
  <si>
    <t xml:space="preserve">Николаев/ </t>
  </si>
  <si>
    <t>Горный О.</t>
  </si>
  <si>
    <t xml:space="preserve">Lodz/ </t>
  </si>
  <si>
    <t>Lesniewski Konrad</t>
  </si>
  <si>
    <t>Sub Junior 17-19 (18.11.1998)/18</t>
  </si>
  <si>
    <t>102,00</t>
  </si>
  <si>
    <t>0,6039</t>
  </si>
  <si>
    <t>87,5655</t>
  </si>
  <si>
    <t>Meszaros David</t>
  </si>
  <si>
    <t>Junior (20.01.1993)/23</t>
  </si>
  <si>
    <t>109,70</t>
  </si>
  <si>
    <t>0,5890</t>
  </si>
  <si>
    <t>132,5250</t>
  </si>
  <si>
    <t xml:space="preserve">Meszaros Laszco </t>
  </si>
  <si>
    <t>Дьяконов Дмитрий</t>
  </si>
  <si>
    <t>Open (07.07.1988)/28</t>
  </si>
  <si>
    <t>104,30</t>
  </si>
  <si>
    <t>0,5990</t>
  </si>
  <si>
    <t>146,7550</t>
  </si>
  <si>
    <t>Трунов Иван</t>
  </si>
  <si>
    <t>104,90</t>
  </si>
  <si>
    <t>0,5978</t>
  </si>
  <si>
    <t>230</t>
  </si>
  <si>
    <t>137,4940</t>
  </si>
  <si>
    <t>Open (19.05.1963)/53</t>
  </si>
  <si>
    <t>133,8838</t>
  </si>
  <si>
    <t>Манин Александр</t>
  </si>
  <si>
    <t>Open (11.01.1991)/25</t>
  </si>
  <si>
    <t>108,50</t>
  </si>
  <si>
    <t>0,5910</t>
  </si>
  <si>
    <t xml:space="preserve">Березники/Пермский край </t>
  </si>
  <si>
    <t>130,0200</t>
  </si>
  <si>
    <t>Дрянов Дмитрий</t>
  </si>
  <si>
    <t>Open (08.01.1990)/26</t>
  </si>
  <si>
    <t>127,5595</t>
  </si>
  <si>
    <t>Чиликин Антон</t>
  </si>
  <si>
    <t>Open (25.03.1992)/24</t>
  </si>
  <si>
    <t>108,60</t>
  </si>
  <si>
    <t>0,5909</t>
  </si>
  <si>
    <t>124,0890</t>
  </si>
  <si>
    <t>Надин Иван</t>
  </si>
  <si>
    <t>102,90</t>
  </si>
  <si>
    <t>0,6019</t>
  </si>
  <si>
    <t xml:space="preserve">Тверь/Тверская область </t>
  </si>
  <si>
    <t>123,3895</t>
  </si>
  <si>
    <t>117,9400</t>
  </si>
  <si>
    <t>Бердиев Темиржон</t>
  </si>
  <si>
    <t>Open (27.11.1988)/27</t>
  </si>
  <si>
    <t>0,5926</t>
  </si>
  <si>
    <t xml:space="preserve">Коломна/Московская область </t>
  </si>
  <si>
    <t>117,0385</t>
  </si>
  <si>
    <t>104,5830</t>
  </si>
  <si>
    <t>Смирнов Егор</t>
  </si>
  <si>
    <t>Open (21.01.1991)/25</t>
  </si>
  <si>
    <t>105,80</t>
  </si>
  <si>
    <t>0,5960</t>
  </si>
  <si>
    <t xml:space="preserve">Апшеронск/Краснодарский край </t>
  </si>
  <si>
    <t>68,5400</t>
  </si>
  <si>
    <t>Лавринков Николай</t>
  </si>
  <si>
    <t>Open (20.09.1991)/25</t>
  </si>
  <si>
    <t>107,00</t>
  </si>
  <si>
    <t>0,5937</t>
  </si>
  <si>
    <t>123,9883</t>
  </si>
  <si>
    <t>Педченко Александр</t>
  </si>
  <si>
    <t>Junior (20.05.1993)/23</t>
  </si>
  <si>
    <t>119,20</t>
  </si>
  <si>
    <t>0,5758</t>
  </si>
  <si>
    <t>139,6315</t>
  </si>
  <si>
    <t>Адаменко Михаил</t>
  </si>
  <si>
    <t>Open (06.03.1980)/36</t>
  </si>
  <si>
    <t>121,60</t>
  </si>
  <si>
    <t>0,5732</t>
  </si>
  <si>
    <t>143,3000</t>
  </si>
  <si>
    <t>Устюгов Вячеслав</t>
  </si>
  <si>
    <t>Open (05.08.1973)/43</t>
  </si>
  <si>
    <t>0,5723</t>
  </si>
  <si>
    <t>138,7828</t>
  </si>
  <si>
    <t>Raidel Christian</t>
  </si>
  <si>
    <t>Open (21.03.1982)/34</t>
  </si>
  <si>
    <t>0,5744</t>
  </si>
  <si>
    <t>136,4200</t>
  </si>
  <si>
    <t>Бегинин Валерий</t>
  </si>
  <si>
    <t>Open (02.01.1979)/37</t>
  </si>
  <si>
    <t>115,40</t>
  </si>
  <si>
    <t>0,5805</t>
  </si>
  <si>
    <t>133,5150</t>
  </si>
  <si>
    <t>Хващевский Евгений</t>
  </si>
  <si>
    <t>Open (04.05.1987)/29</t>
  </si>
  <si>
    <t>114,00</t>
  </si>
  <si>
    <t>0,5824</t>
  </si>
  <si>
    <t>128,1280</t>
  </si>
  <si>
    <t xml:space="preserve">Никитенко Артем </t>
  </si>
  <si>
    <t>125,8890</t>
  </si>
  <si>
    <t>Жуков Юрий</t>
  </si>
  <si>
    <t>Open (01.05.1981)/35</t>
  </si>
  <si>
    <t>113,00</t>
  </si>
  <si>
    <t>0,5839</t>
  </si>
  <si>
    <t>122,6190</t>
  </si>
  <si>
    <t>111,30</t>
  </si>
  <si>
    <t>0,5864</t>
  </si>
  <si>
    <t>105,5520</t>
  </si>
  <si>
    <t>Веденидов Сергей</t>
  </si>
  <si>
    <t>Open (23.09.1979)/37</t>
  </si>
  <si>
    <t>105,1920</t>
  </si>
  <si>
    <t xml:space="preserve">Малеев Дмитрий </t>
  </si>
  <si>
    <t>Милаков Иван</t>
  </si>
  <si>
    <t>111,50</t>
  </si>
  <si>
    <t>0,5861</t>
  </si>
  <si>
    <t>102,5675</t>
  </si>
  <si>
    <t>Master 40-49 (05.08.1973)/43</t>
  </si>
  <si>
    <t>142,6687</t>
  </si>
  <si>
    <t>Силаев Максим</t>
  </si>
  <si>
    <t>Master 40-49 (07.06.1968)/48</t>
  </si>
  <si>
    <t>119,60</t>
  </si>
  <si>
    <t>0,5754</t>
  </si>
  <si>
    <t>145,8265</t>
  </si>
  <si>
    <t xml:space="preserve">Бунтов </t>
  </si>
  <si>
    <t>Герасимов Сергей</t>
  </si>
  <si>
    <t>Master 40-49 (08.11.1975)/41</t>
  </si>
  <si>
    <t>122,60</t>
  </si>
  <si>
    <t>0,5722</t>
  </si>
  <si>
    <t>123,6381</t>
  </si>
  <si>
    <t>120,1927</t>
  </si>
  <si>
    <t>Дубина Николай</t>
  </si>
  <si>
    <t>Master 50-59 (18.04.1966)/50</t>
  </si>
  <si>
    <t>115,80</t>
  </si>
  <si>
    <t>0,5800</t>
  </si>
  <si>
    <t>126,7300</t>
  </si>
  <si>
    <t>Логунов Анатолий</t>
  </si>
  <si>
    <t>Master 60-69 (08.01.1953)/63</t>
  </si>
  <si>
    <t>112,70</t>
  </si>
  <si>
    <t>0,5843</t>
  </si>
  <si>
    <t>128,8381</t>
  </si>
  <si>
    <t>Зайцев Иван</t>
  </si>
  <si>
    <t>Sub Junior 17-19 (11.09.1997)/19</t>
  </si>
  <si>
    <t>128,50</t>
  </si>
  <si>
    <t>0,5668</t>
  </si>
  <si>
    <t>113,3600</t>
  </si>
  <si>
    <t>Сидоров Александр</t>
  </si>
  <si>
    <t>132,70</t>
  </si>
  <si>
    <t>0,5636</t>
  </si>
  <si>
    <t xml:space="preserve">Первомайск/Нижегородская область </t>
  </si>
  <si>
    <t>255</t>
  </si>
  <si>
    <t>143,7180</t>
  </si>
  <si>
    <t>Ларионов Олег</t>
  </si>
  <si>
    <t>Master 40-49 (12.10.1974)/42</t>
  </si>
  <si>
    <t>130,80</t>
  </si>
  <si>
    <t>0,5650</t>
  </si>
  <si>
    <t xml:space="preserve">Жуковский/Московская область </t>
  </si>
  <si>
    <t>137,4984</t>
  </si>
  <si>
    <t>Erlandsson Alf</t>
  </si>
  <si>
    <t>Open (04.10.1977)/39</t>
  </si>
  <si>
    <t>165,80</t>
  </si>
  <si>
    <t>0,5453</t>
  </si>
  <si>
    <t xml:space="preserve">Subang Jaya/Selangor </t>
  </si>
  <si>
    <t>136,3250</t>
  </si>
  <si>
    <t>Дерюженко Евгений</t>
  </si>
  <si>
    <t>Open (07.06.1984)/32</t>
  </si>
  <si>
    <t>164,50</t>
  </si>
  <si>
    <t>0,5459</t>
  </si>
  <si>
    <t>125,5570</t>
  </si>
  <si>
    <t>Мима Виктор</t>
  </si>
  <si>
    <t>Open (31.10.1991)/25</t>
  </si>
  <si>
    <t>143,30</t>
  </si>
  <si>
    <t>0,5569</t>
  </si>
  <si>
    <t>111,3800</t>
  </si>
  <si>
    <t>Leitis Mareks</t>
  </si>
  <si>
    <t>Master 40-49 (23.09.1976)/40</t>
  </si>
  <si>
    <t>140,20</t>
  </si>
  <si>
    <t>0,5587</t>
  </si>
  <si>
    <t>127,1043</t>
  </si>
  <si>
    <t>Карпов Станислав</t>
  </si>
  <si>
    <t>Master 40-49 (07.04.1971)/45</t>
  </si>
  <si>
    <t>158,20</t>
  </si>
  <si>
    <t>0,5491</t>
  </si>
  <si>
    <t>130,9603</t>
  </si>
  <si>
    <t>Jolanta Anasiewicz</t>
  </si>
  <si>
    <t>Венгрия</t>
  </si>
  <si>
    <t xml:space="preserve">Тель Авив/ </t>
  </si>
  <si>
    <t xml:space="preserve">Тимофеев Олег, Лахин Сергей </t>
  </si>
  <si>
    <t>Гильванов Ф.</t>
  </si>
  <si>
    <t xml:space="preserve">Бахчисарай/Республика Крым </t>
  </si>
  <si>
    <t>Советский/Ханты-Мансийский АО</t>
  </si>
  <si>
    <t>Анадырь/Чукотский АО</t>
  </si>
  <si>
    <t>Анохин Михаил</t>
  </si>
  <si>
    <t>Sub Junior 17-19 (27.08.1997)/19</t>
  </si>
  <si>
    <t>0,5923</t>
  </si>
  <si>
    <t>346,4955</t>
  </si>
  <si>
    <t>Черненко Андрей</t>
  </si>
  <si>
    <t>Junior (12.04.1993)/23</t>
  </si>
  <si>
    <t>870,00</t>
  </si>
  <si>
    <t>511,9950</t>
  </si>
  <si>
    <t>Тюрин Илья</t>
  </si>
  <si>
    <t>Junior (16.05.1995)/21</t>
  </si>
  <si>
    <t>106,70</t>
  </si>
  <si>
    <t>0,5943</t>
  </si>
  <si>
    <t xml:space="preserve">Гуково/Ростовская область </t>
  </si>
  <si>
    <t>457,6110</t>
  </si>
  <si>
    <t xml:space="preserve">Чернов Илья </t>
  </si>
  <si>
    <t>Носков Руслан</t>
  </si>
  <si>
    <t>Junior (14.12.1994)/21</t>
  </si>
  <si>
    <t>106,60</t>
  </si>
  <si>
    <t>0,5945</t>
  </si>
  <si>
    <t xml:space="preserve">Электроугли/Московская область </t>
  </si>
  <si>
    <t>407,2325</t>
  </si>
  <si>
    <t>Аббасов Эльмар</t>
  </si>
  <si>
    <t>Junior (22.10.1996)/20</t>
  </si>
  <si>
    <t>104,40</t>
  </si>
  <si>
    <t>0,5988</t>
  </si>
  <si>
    <t>395,2080</t>
  </si>
  <si>
    <t>Грибов Анатолий</t>
  </si>
  <si>
    <t>Open (07.02.1992)/24</t>
  </si>
  <si>
    <t>0,5966</t>
  </si>
  <si>
    <t>877,50</t>
  </si>
  <si>
    <t>523,5165</t>
  </si>
  <si>
    <t>Буйко Виктор</t>
  </si>
  <si>
    <t>Open (15.06.1984)/32</t>
  </si>
  <si>
    <t>0,5905</t>
  </si>
  <si>
    <t>860,00</t>
  </si>
  <si>
    <t>507,8300</t>
  </si>
  <si>
    <t>Водовсков Виктор</t>
  </si>
  <si>
    <t>Open (22.10.1982)/34</t>
  </si>
  <si>
    <t>107,70</t>
  </si>
  <si>
    <t>0,5924</t>
  </si>
  <si>
    <t xml:space="preserve">Балаково/Саратовская область </t>
  </si>
  <si>
    <t>842,50</t>
  </si>
  <si>
    <t>499,0970</t>
  </si>
  <si>
    <t>Догадин Олег</t>
  </si>
  <si>
    <t>Open (21.07.1989)/27</t>
  </si>
  <si>
    <t>335,5</t>
  </si>
  <si>
    <t>837,50</t>
  </si>
  <si>
    <t>492,8688</t>
  </si>
  <si>
    <t>Козырь Тимур</t>
  </si>
  <si>
    <t>Open (28.02.1988)/28</t>
  </si>
  <si>
    <t>103,00</t>
  </si>
  <si>
    <t>0,6017</t>
  </si>
  <si>
    <t xml:space="preserve">Геленджик/Краснодарский край </t>
  </si>
  <si>
    <t>827,50</t>
  </si>
  <si>
    <t>497,9068</t>
  </si>
  <si>
    <t>Секов Михаил</t>
  </si>
  <si>
    <t>Open (01.09.1986)/30</t>
  </si>
  <si>
    <t>109,20</t>
  </si>
  <si>
    <t>0,5898</t>
  </si>
  <si>
    <t>800,00</t>
  </si>
  <si>
    <t>471,8400</t>
  </si>
  <si>
    <t>795,00</t>
  </si>
  <si>
    <t>468,8115</t>
  </si>
  <si>
    <t>Зинец Александр</t>
  </si>
  <si>
    <t>Open (06.08.1992)/24</t>
  </si>
  <si>
    <t xml:space="preserve">Тобольск/Тюменская область </t>
  </si>
  <si>
    <t>460,4340</t>
  </si>
  <si>
    <t>Митрофанов Василий</t>
  </si>
  <si>
    <t>Open (04.07.1987)/29</t>
  </si>
  <si>
    <t>108,40</t>
  </si>
  <si>
    <t>0,5912</t>
  </si>
  <si>
    <t xml:space="preserve">Гороховец/Владимирская область </t>
  </si>
  <si>
    <t>455,2240</t>
  </si>
  <si>
    <t>Ленин Алексей</t>
  </si>
  <si>
    <t>Open (17.01.1988)/28</t>
  </si>
  <si>
    <t>695,00</t>
  </si>
  <si>
    <t>409,0075</t>
  </si>
  <si>
    <t>Кочетков Алексей</t>
  </si>
  <si>
    <t>Open (04.09.1988)/28</t>
  </si>
  <si>
    <t>109,00</t>
  </si>
  <si>
    <t>0,5902</t>
  </si>
  <si>
    <t>670,00</t>
  </si>
  <si>
    <t>395,4340</t>
  </si>
  <si>
    <t>Ахметов Артур</t>
  </si>
  <si>
    <t>Open (22.08.1991)/25</t>
  </si>
  <si>
    <t>642,50</t>
  </si>
  <si>
    <t>380,2957</t>
  </si>
  <si>
    <t xml:space="preserve">Караганда </t>
  </si>
  <si>
    <t>Роднин Роман</t>
  </si>
  <si>
    <t>101,70</t>
  </si>
  <si>
    <t>0,6046</t>
  </si>
  <si>
    <t>401,0312</t>
  </si>
  <si>
    <t>Barrionuevo Enrique</t>
  </si>
  <si>
    <t>Master 40-49 (01.11.1968)/48</t>
  </si>
  <si>
    <t>430,8701</t>
  </si>
  <si>
    <t>550,00</t>
  </si>
  <si>
    <t>394,7131</t>
  </si>
  <si>
    <t>411,1189</t>
  </si>
  <si>
    <t>Киселев Сергей</t>
  </si>
  <si>
    <t>Junior (18.06.1995)/21</t>
  </si>
  <si>
    <t>887,50</t>
  </si>
  <si>
    <t>507,8275</t>
  </si>
  <si>
    <t>332,5</t>
  </si>
  <si>
    <t>865,00</t>
  </si>
  <si>
    <t>498,3265</t>
  </si>
  <si>
    <t xml:space="preserve">Жуманьязов </t>
  </si>
  <si>
    <t>Соловей Антон</t>
  </si>
  <si>
    <t>Junior (15.03.1993)/23</t>
  </si>
  <si>
    <t>0,5698</t>
  </si>
  <si>
    <t>492,8770</t>
  </si>
  <si>
    <t xml:space="preserve">Семенихин Артем </t>
  </si>
  <si>
    <t>Кучин Максим</t>
  </si>
  <si>
    <t>Junior (20.07.1995)/21</t>
  </si>
  <si>
    <t>121,40</t>
  </si>
  <si>
    <t>0,5734</t>
  </si>
  <si>
    <t>327,5</t>
  </si>
  <si>
    <t>830,00</t>
  </si>
  <si>
    <t>475,9220</t>
  </si>
  <si>
    <t xml:space="preserve">Мудрогелов Руслан </t>
  </si>
  <si>
    <t>Larch Stefan</t>
  </si>
  <si>
    <t>Junior (06.04.1993)/23</t>
  </si>
  <si>
    <t>117,30</t>
  </si>
  <si>
    <t>0,5781</t>
  </si>
  <si>
    <t xml:space="preserve">Radfeld/Tyrol </t>
  </si>
  <si>
    <t>820,00</t>
  </si>
  <si>
    <t>474,0420</t>
  </si>
  <si>
    <t xml:space="preserve">Christoph Rieser </t>
  </si>
  <si>
    <t>925,00</t>
  </si>
  <si>
    <t>528,4525</t>
  </si>
  <si>
    <t>Open (15.03.1993)/23</t>
  </si>
  <si>
    <t xml:space="preserve">Семенихин </t>
  </si>
  <si>
    <t>Савосин Марат</t>
  </si>
  <si>
    <t>Open (23.10.1990)/26</t>
  </si>
  <si>
    <t>111,20</t>
  </si>
  <si>
    <t>0,5866</t>
  </si>
  <si>
    <t>862,50</t>
  </si>
  <si>
    <t>505,9425</t>
  </si>
  <si>
    <t>825,00</t>
  </si>
  <si>
    <t>480,6450</t>
  </si>
  <si>
    <t>Устинов Сергей</t>
  </si>
  <si>
    <t>Open (23.04.1988)/28</t>
  </si>
  <si>
    <t>120,20</t>
  </si>
  <si>
    <t>0,5747</t>
  </si>
  <si>
    <t>810,00</t>
  </si>
  <si>
    <t>465,5070</t>
  </si>
  <si>
    <t xml:space="preserve">Шель Фетенгоф Денис </t>
  </si>
  <si>
    <t>Магомедов Хабибула</t>
  </si>
  <si>
    <t>Open (26.03.1980)/36</t>
  </si>
  <si>
    <t>116,50</t>
  </si>
  <si>
    <t>0,5791</t>
  </si>
  <si>
    <t>454,5935</t>
  </si>
  <si>
    <t>Немов Алексей</t>
  </si>
  <si>
    <t>Open (30.01.1990)/26</t>
  </si>
  <si>
    <t>772,50</t>
  </si>
  <si>
    <t>445,0372</t>
  </si>
  <si>
    <t>Римиханов Иляр</t>
  </si>
  <si>
    <t>Open (12.06.1988)/28</t>
  </si>
  <si>
    <t xml:space="preserve">Донецк/Ростовская область </t>
  </si>
  <si>
    <t>755,00</t>
  </si>
  <si>
    <t>437,2960</t>
  </si>
  <si>
    <t>540,00</t>
  </si>
  <si>
    <t>307,6920</t>
  </si>
  <si>
    <t>Алексеев Александр</t>
  </si>
  <si>
    <t>Open (27.06.1980)/36</t>
  </si>
  <si>
    <t xml:space="preserve">Лудза/Латвия </t>
  </si>
  <si>
    <t>Чекачков Александр</t>
  </si>
  <si>
    <t>Master 40-49 (18.02.1971)/45</t>
  </si>
  <si>
    <t>124,20</t>
  </si>
  <si>
    <t>0,5706</t>
  </si>
  <si>
    <t>430,00</t>
  </si>
  <si>
    <t>260,0795</t>
  </si>
  <si>
    <t>Нуянзин Максим</t>
  </si>
  <si>
    <t>Junior (10.10.1996)/20</t>
  </si>
  <si>
    <t>371,2540</t>
  </si>
  <si>
    <t>380,0</t>
  </si>
  <si>
    <t>880,00</t>
  </si>
  <si>
    <t>495,0000</t>
  </si>
  <si>
    <t>Штоколов Денис</t>
  </si>
  <si>
    <t>Open (13.05.1979)/37</t>
  </si>
  <si>
    <t>136,80</t>
  </si>
  <si>
    <t>0,5608</t>
  </si>
  <si>
    <t>448,6400</t>
  </si>
  <si>
    <t xml:space="preserve">Осипов Карлен </t>
  </si>
  <si>
    <t>Шмырин Владимир</t>
  </si>
  <si>
    <t>Open (13.05.1984)/32</t>
  </si>
  <si>
    <t>129,60</t>
  </si>
  <si>
    <t>0,5659</t>
  </si>
  <si>
    <t>437,1578</t>
  </si>
  <si>
    <t>525,0</t>
  </si>
  <si>
    <t>395,0</t>
  </si>
  <si>
    <t>372,5</t>
  </si>
  <si>
    <t>Anna Murrey</t>
  </si>
  <si>
    <t>585,0</t>
  </si>
  <si>
    <t>405,0</t>
  </si>
  <si>
    <t>870,0</t>
  </si>
  <si>
    <t>887,5</t>
  </si>
  <si>
    <t>865,0</t>
  </si>
  <si>
    <t>770,0</t>
  </si>
  <si>
    <t>830,0</t>
  </si>
  <si>
    <t>820,0</t>
  </si>
  <si>
    <t>925,0</t>
  </si>
  <si>
    <t>877,5</t>
  </si>
  <si>
    <t>760,0</t>
  </si>
  <si>
    <t>860,0</t>
  </si>
  <si>
    <t>862,5</t>
  </si>
  <si>
    <t>842,5</t>
  </si>
  <si>
    <t>827,5</t>
  </si>
  <si>
    <t>880,0</t>
  </si>
  <si>
    <t>812,5</t>
  </si>
  <si>
    <t>727,5</t>
  </si>
  <si>
    <t>837,5</t>
  </si>
  <si>
    <t>785,0</t>
  </si>
  <si>
    <t>825,0</t>
  </si>
  <si>
    <t>712,5</t>
  </si>
  <si>
    <t>795,0</t>
  </si>
  <si>
    <t>810,0</t>
  </si>
  <si>
    <t>572,5</t>
  </si>
  <si>
    <t>687,5</t>
  </si>
  <si>
    <t>565,0</t>
  </si>
  <si>
    <t>607,5</t>
  </si>
  <si>
    <t>697,5</t>
  </si>
  <si>
    <t>472,5</t>
  </si>
  <si>
    <t>570,0</t>
  </si>
  <si>
    <t>460,0</t>
  </si>
  <si>
    <t>400,0</t>
  </si>
  <si>
    <t>430,0</t>
  </si>
  <si>
    <t xml:space="preserve">Barcelona/ </t>
  </si>
  <si>
    <t>Испания</t>
  </si>
  <si>
    <t>Коновалов Алексей</t>
  </si>
  <si>
    <t xml:space="preserve">Избербаш/Республика Дагестан </t>
  </si>
  <si>
    <t>Красноперекопск/Республика Дагестан</t>
  </si>
  <si>
    <t>Алматы/Алматинская область</t>
  </si>
  <si>
    <t xml:space="preserve">Петров А.  </t>
  </si>
  <si>
    <t>Open (08.12.1976)/39</t>
  </si>
  <si>
    <t xml:space="preserve">Riga/ </t>
  </si>
  <si>
    <t>Чемпионат мира WRPF-PRO                                                                                                                                                                                                    Пауэрлифтинг</t>
  </si>
  <si>
    <t>19 - 20 ноября 2016</t>
  </si>
  <si>
    <t>Возрастная группа                                                                      Дата рождения/Возраст</t>
  </si>
  <si>
    <t>Собств. вес</t>
  </si>
  <si>
    <t>Команда</t>
  </si>
  <si>
    <t>Результат</t>
  </si>
  <si>
    <t>Гаспарян Марианна</t>
  </si>
  <si>
    <t>Open (25.02.1989)/27</t>
  </si>
  <si>
    <t>55,70</t>
  </si>
  <si>
    <t>1,1816</t>
  </si>
  <si>
    <t>Самостоятельно</t>
  </si>
  <si>
    <t>Шенкаренко Юлия</t>
  </si>
  <si>
    <t>Open (23.12.1986)/29</t>
  </si>
  <si>
    <t>1,0294</t>
  </si>
  <si>
    <t xml:space="preserve">Днепр/ </t>
  </si>
  <si>
    <t>206,0</t>
  </si>
  <si>
    <t>557,50</t>
  </si>
  <si>
    <t>573,8905</t>
  </si>
  <si>
    <t xml:space="preserve">Пежин Николай </t>
  </si>
  <si>
    <t>Абрамова Галина</t>
  </si>
  <si>
    <t>Open (19.06.1989)/27</t>
  </si>
  <si>
    <t>545,00</t>
  </si>
  <si>
    <t>557,4260</t>
  </si>
  <si>
    <t>Панферова Мария</t>
  </si>
  <si>
    <t>Open (27.04.1977)/39</t>
  </si>
  <si>
    <t>0,9506</t>
  </si>
  <si>
    <t>205,5</t>
  </si>
  <si>
    <t>580,50</t>
  </si>
  <si>
    <t>551,8233</t>
  </si>
  <si>
    <t>Ломова Оксана</t>
  </si>
  <si>
    <t>Open (19.08.1983)/33</t>
  </si>
  <si>
    <t>76,10</t>
  </si>
  <si>
    <t>0,9421</t>
  </si>
  <si>
    <t xml:space="preserve">Видное/Московская область </t>
  </si>
  <si>
    <t>465,00</t>
  </si>
  <si>
    <t>438,0765</t>
  </si>
  <si>
    <t xml:space="preserve">Ломов Игорь </t>
  </si>
  <si>
    <t>Ярошенко Ирина</t>
  </si>
  <si>
    <t>Open (04.12.1986)/29</t>
  </si>
  <si>
    <t>0,8233</t>
  </si>
  <si>
    <t>610,00</t>
  </si>
  <si>
    <t>502,2130</t>
  </si>
  <si>
    <t xml:space="preserve">Постнов Д. </t>
  </si>
  <si>
    <t>Мельник Алексей</t>
  </si>
  <si>
    <t xml:space="preserve">Киев/ </t>
  </si>
  <si>
    <t>527,4240</t>
  </si>
  <si>
    <t>Желязков Михаил</t>
  </si>
  <si>
    <t>Open (12.09.1980)/36</t>
  </si>
  <si>
    <t xml:space="preserve">Кривой Рог/ </t>
  </si>
  <si>
    <t>840,00</t>
  </si>
  <si>
    <t>511,8120</t>
  </si>
  <si>
    <t>Разудалов Сергей</t>
  </si>
  <si>
    <t>Open (11.06.1990)/26</t>
  </si>
  <si>
    <t>106,30</t>
  </si>
  <si>
    <t>0,5950</t>
  </si>
  <si>
    <t>910,00</t>
  </si>
  <si>
    <t>541,4500</t>
  </si>
  <si>
    <t>Mauro Spinardi</t>
  </si>
  <si>
    <t>Open (28.02.1980)/36</t>
  </si>
  <si>
    <t>Buenos Aires/</t>
  </si>
  <si>
    <t>Open (08.02.1988)/28</t>
  </si>
  <si>
    <t>124,00</t>
  </si>
  <si>
    <t>0,5708</t>
  </si>
  <si>
    <t>985,00</t>
  </si>
  <si>
    <t>562,2380</t>
  </si>
  <si>
    <t>Ламбрианидис Фемистоклис</t>
  </si>
  <si>
    <t>Open (28.03.1985)/31</t>
  </si>
  <si>
    <t>140,00</t>
  </si>
  <si>
    <t>0,5588</t>
  </si>
  <si>
    <t xml:space="preserve">Киров/Калужская область </t>
  </si>
  <si>
    <t>1020,00</t>
  </si>
  <si>
    <t>569,9760</t>
  </si>
  <si>
    <t>Wolnowski Witold</t>
  </si>
  <si>
    <t>134,50</t>
  </si>
  <si>
    <t>0,5623</t>
  </si>
  <si>
    <t>935,00</t>
  </si>
  <si>
    <t>525,7505</t>
  </si>
  <si>
    <t>Rhyss Keane</t>
  </si>
  <si>
    <t>Open (09.03.1990)/26</t>
  </si>
  <si>
    <t>139,40</t>
  </si>
  <si>
    <t>0,5592</t>
  </si>
  <si>
    <t>Австралия</t>
  </si>
  <si>
    <t xml:space="preserve">Straza/ </t>
  </si>
  <si>
    <t>357,5</t>
  </si>
  <si>
    <t>Сарычев Кирилл</t>
  </si>
  <si>
    <t>Open (01.01.1989)/27</t>
  </si>
  <si>
    <t>177,40</t>
  </si>
  <si>
    <t>0,5394</t>
  </si>
  <si>
    <t>402,5</t>
  </si>
  <si>
    <t>1082,50</t>
  </si>
  <si>
    <t>583,9005</t>
  </si>
  <si>
    <t>Обухов Филипп</t>
  </si>
  <si>
    <t>Open (09.11.1993)/23</t>
  </si>
  <si>
    <t>169,20</t>
  </si>
  <si>
    <t>0,5435</t>
  </si>
  <si>
    <t xml:space="preserve">Киров/Кировская область </t>
  </si>
  <si>
    <t>415,0</t>
  </si>
  <si>
    <t>995,00</t>
  </si>
  <si>
    <t>540,7825</t>
  </si>
  <si>
    <t>Абиджба Роман</t>
  </si>
  <si>
    <t>Open (27.04.1988)/28</t>
  </si>
  <si>
    <t>149,40</t>
  </si>
  <si>
    <t>0,5536</t>
  </si>
  <si>
    <t>362,5</t>
  </si>
  <si>
    <t>965,00</t>
  </si>
  <si>
    <t>534,2240</t>
  </si>
  <si>
    <t>Одегов Сергей</t>
  </si>
  <si>
    <t>Open (02.10.1976)/40</t>
  </si>
  <si>
    <t>140,90</t>
  </si>
  <si>
    <t>0,5583</t>
  </si>
  <si>
    <t>Подрез Иван</t>
  </si>
  <si>
    <t>173,60</t>
  </si>
  <si>
    <t>0,5413</t>
  </si>
  <si>
    <t>407,5</t>
  </si>
  <si>
    <t xml:space="preserve"> </t>
  </si>
  <si>
    <t xml:space="preserve">OPEN </t>
  </si>
  <si>
    <t>580,5</t>
  </si>
  <si>
    <t>610,0</t>
  </si>
  <si>
    <t>1082,5</t>
  </si>
  <si>
    <t>1020,0</t>
  </si>
  <si>
    <t>985,0</t>
  </si>
  <si>
    <t>910,0</t>
  </si>
  <si>
    <t>995,0</t>
  </si>
  <si>
    <t>965,0</t>
  </si>
  <si>
    <t>935,0</t>
  </si>
  <si>
    <t>840,0</t>
  </si>
  <si>
    <t>Чемпионат мира WRPF-PRO                                                                                                                                      Жим штанги лежа</t>
  </si>
  <si>
    <t>135,8840</t>
  </si>
  <si>
    <t>Коновалова Наталья</t>
  </si>
  <si>
    <t>Open (14.09.1988)/28</t>
  </si>
  <si>
    <t xml:space="preserve">Барнаул/Алтайский край </t>
  </si>
  <si>
    <t>137,0990</t>
  </si>
  <si>
    <t>Лазуренко Ольга</t>
  </si>
  <si>
    <t>Open (05.09.1971)/45</t>
  </si>
  <si>
    <t>1,1478</t>
  </si>
  <si>
    <t>126,2580</t>
  </si>
  <si>
    <t>Длужневская Владислава</t>
  </si>
  <si>
    <t>Open (10.06.2000)/16</t>
  </si>
  <si>
    <t>1,1178</t>
  </si>
  <si>
    <t>120,1635</t>
  </si>
  <si>
    <t xml:space="preserve">Длужневский Сергей </t>
  </si>
  <si>
    <t>Nagy Rita</t>
  </si>
  <si>
    <t>Open (18.09.1974)/42</t>
  </si>
  <si>
    <t>1,0339</t>
  </si>
  <si>
    <t>134,4070</t>
  </si>
  <si>
    <t>133,8220</t>
  </si>
  <si>
    <t>Зубрицкая Лина</t>
  </si>
  <si>
    <t>Open (15.02.1988)/28</t>
  </si>
  <si>
    <t>61,40</t>
  </si>
  <si>
    <t>1,0952</t>
  </si>
  <si>
    <t>131,4240</t>
  </si>
  <si>
    <t>Медведева Юлия</t>
  </si>
  <si>
    <t>Open (08.07.1979)/37</t>
  </si>
  <si>
    <t>74,30</t>
  </si>
  <si>
    <t>0,9563</t>
  </si>
  <si>
    <t>145,8358</t>
  </si>
  <si>
    <t>Антипова Александра</t>
  </si>
  <si>
    <t>Open (26.10.1993)/23</t>
  </si>
  <si>
    <t>73,50</t>
  </si>
  <si>
    <t>0,9629</t>
  </si>
  <si>
    <t>129,9915</t>
  </si>
  <si>
    <t>128,3310</t>
  </si>
  <si>
    <t>Кныш Виктория</t>
  </si>
  <si>
    <t>Open (21.03.1983)/33</t>
  </si>
  <si>
    <t>0,8792</t>
  </si>
  <si>
    <t>131,8800</t>
  </si>
  <si>
    <t xml:space="preserve">Рыбаков Д. </t>
  </si>
  <si>
    <t>94,6795</t>
  </si>
  <si>
    <t>Еремашвили Роман</t>
  </si>
  <si>
    <t>Open (27.05.1981)/35</t>
  </si>
  <si>
    <t>70,70</t>
  </si>
  <si>
    <t>0,7437</t>
  </si>
  <si>
    <t>167,3325</t>
  </si>
  <si>
    <t>Bezhashvili Tsothe</t>
  </si>
  <si>
    <t>Open (04.04.1985)/31</t>
  </si>
  <si>
    <t>69,30</t>
  </si>
  <si>
    <t>0,7552</t>
  </si>
  <si>
    <t>Грузия</t>
  </si>
  <si>
    <t xml:space="preserve">Тбилиси/ </t>
  </si>
  <si>
    <t>162,3680</t>
  </si>
  <si>
    <t>Kavtaradze Giorgi</t>
  </si>
  <si>
    <t>Open (02.11.1994)/22</t>
  </si>
  <si>
    <t>0,7126</t>
  </si>
  <si>
    <t>153,2090</t>
  </si>
  <si>
    <t>Open (19.12.1978)/37</t>
  </si>
  <si>
    <t>167,8500</t>
  </si>
  <si>
    <t>Базилевич Олег</t>
  </si>
  <si>
    <t>150,0240</t>
  </si>
  <si>
    <t>Греев Руслан</t>
  </si>
  <si>
    <t>Open (26.02.1986)/30</t>
  </si>
  <si>
    <t xml:space="preserve">Пономарев Сергей </t>
  </si>
  <si>
    <t>Перепеченов Олег</t>
  </si>
  <si>
    <t>Open (06.09.1975)/41</t>
  </si>
  <si>
    <t>0,6398</t>
  </si>
  <si>
    <t>Кахута Вадим</t>
  </si>
  <si>
    <t>271,0</t>
  </si>
  <si>
    <t>271</t>
  </si>
  <si>
    <t>165,8791</t>
  </si>
  <si>
    <t xml:space="preserve">Кахута Виктор </t>
  </si>
  <si>
    <t>Счастный Станислав</t>
  </si>
  <si>
    <t>Open (30.07.1993)/23</t>
  </si>
  <si>
    <t>Минск/Минская область</t>
  </si>
  <si>
    <t>269,0</t>
  </si>
  <si>
    <t>155,1375</t>
  </si>
  <si>
    <t>Ильхасан Ибрагим</t>
  </si>
  <si>
    <t>Open (21.06.1989)/27</t>
  </si>
  <si>
    <t>109,50</t>
  </si>
  <si>
    <t>0,5893</t>
  </si>
  <si>
    <t>153,2180</t>
  </si>
  <si>
    <t xml:space="preserve">Хасан Хвича </t>
  </si>
  <si>
    <t>Dan Green</t>
  </si>
  <si>
    <t>Open (01.12.1982)/33</t>
  </si>
  <si>
    <t>138,8850</t>
  </si>
  <si>
    <t>Kocyla Andrzej</t>
  </si>
  <si>
    <t>Open (11.11.1976)/40</t>
  </si>
  <si>
    <t>133,3640</t>
  </si>
  <si>
    <t>Соловьев Алексей</t>
  </si>
  <si>
    <t>Open (08.01.1975)/41</t>
  </si>
  <si>
    <t>131,5160</t>
  </si>
  <si>
    <t>Алибегов Мурад</t>
  </si>
  <si>
    <t>Open (09.02.1977)/39</t>
  </si>
  <si>
    <t xml:space="preserve">Москва </t>
  </si>
  <si>
    <t>148,3560</t>
  </si>
  <si>
    <t>Барягин Леонид</t>
  </si>
  <si>
    <t>Meszaros Laszlo</t>
  </si>
  <si>
    <t>Open (30.12.1968)/47</t>
  </si>
  <si>
    <t>137,60</t>
  </si>
  <si>
    <t>0,5603</t>
  </si>
  <si>
    <t>Венгрии</t>
  </si>
  <si>
    <t>162,4870</t>
  </si>
  <si>
    <t>Isajevs Peteris</t>
  </si>
  <si>
    <t>Open (20.02.1984)/32</t>
  </si>
  <si>
    <t>139,90</t>
  </si>
  <si>
    <t>0,5589</t>
  </si>
  <si>
    <t>162,0810</t>
  </si>
  <si>
    <t>Колохин Павел</t>
  </si>
  <si>
    <t>Open (02.07.1984)/32</t>
  </si>
  <si>
    <t>133,30</t>
  </si>
  <si>
    <t>0,5631</t>
  </si>
  <si>
    <t>157,6680</t>
  </si>
  <si>
    <t xml:space="preserve">Суслов Николай </t>
  </si>
  <si>
    <t>Murnieks Andrejs</t>
  </si>
  <si>
    <t>Open (28.10.1980)/36</t>
  </si>
  <si>
    <t>138,90</t>
  </si>
  <si>
    <t>0,5595</t>
  </si>
  <si>
    <t>156,6600</t>
  </si>
  <si>
    <t>Никитенко Артем</t>
  </si>
  <si>
    <t>Open (10.04.1991)/25</t>
  </si>
  <si>
    <t>134,60</t>
  </si>
  <si>
    <t>0,5622</t>
  </si>
  <si>
    <t xml:space="preserve">Мариинск/Кемеровская область </t>
  </si>
  <si>
    <t>151,7940</t>
  </si>
  <si>
    <t>Климов Павел</t>
  </si>
  <si>
    <t>Open (27.03.1991)/25</t>
  </si>
  <si>
    <t>135,80</t>
  </si>
  <si>
    <t>0,5614</t>
  </si>
  <si>
    <t xml:space="preserve">Анадырь/Чукотский авт. окр. </t>
  </si>
  <si>
    <t>145,9640</t>
  </si>
  <si>
    <t>Орешков Роман</t>
  </si>
  <si>
    <t>Open (08.09.1984)/32</t>
  </si>
  <si>
    <t>0,5649</t>
  </si>
  <si>
    <t>144,0495</t>
  </si>
  <si>
    <t>Christoph Rieser</t>
  </si>
  <si>
    <t>Open (15.06.1985)/31</t>
  </si>
  <si>
    <t>136,90</t>
  </si>
  <si>
    <t>0,5607</t>
  </si>
  <si>
    <t xml:space="preserve">Finsterwalde/Brandenburg </t>
  </si>
  <si>
    <t>124,7557</t>
  </si>
  <si>
    <t>Open (29.07.1988)/28</t>
  </si>
  <si>
    <t>150,40</t>
  </si>
  <si>
    <t>0,5531</t>
  </si>
  <si>
    <t>293,0</t>
  </si>
  <si>
    <t>285</t>
  </si>
  <si>
    <t>157,6335</t>
  </si>
  <si>
    <t>Schastny Stanislav</t>
  </si>
  <si>
    <t>Чемпионат мира WRPF-PRO                                                                                                                                     Становая тяга</t>
  </si>
  <si>
    <t>Бурнашова Светлана</t>
  </si>
  <si>
    <t>Open (26.10.1977)/39</t>
  </si>
  <si>
    <t>51,50</t>
  </si>
  <si>
    <t>1,2560</t>
  </si>
  <si>
    <t>222,9400</t>
  </si>
  <si>
    <t>Бурнашов В., Длужневский С.</t>
  </si>
  <si>
    <t>255,7000</t>
  </si>
  <si>
    <t>223,8945</t>
  </si>
  <si>
    <t>Петрович Ирина</t>
  </si>
  <si>
    <t>Open (04.04.1984)/32</t>
  </si>
  <si>
    <t xml:space="preserve">Беларуссия </t>
  </si>
  <si>
    <t>207,1170</t>
  </si>
  <si>
    <t>Аблаева Виктория</t>
  </si>
  <si>
    <t>Open (08.05.1983)/33</t>
  </si>
  <si>
    <t>1,0374</t>
  </si>
  <si>
    <t>207,4800</t>
  </si>
  <si>
    <t xml:space="preserve">Новосибирск </t>
  </si>
  <si>
    <t>219,9490</t>
  </si>
  <si>
    <t>189,0280</t>
  </si>
  <si>
    <t>207,8833</t>
  </si>
  <si>
    <t>Постнов Д.</t>
  </si>
  <si>
    <t>Stuart Jamieson</t>
  </si>
  <si>
    <t>Open (06.09.1989)/27</t>
  </si>
  <si>
    <t>0,8529</t>
  </si>
  <si>
    <t>Шотландия</t>
  </si>
  <si>
    <t xml:space="preserve">Dobele/ </t>
  </si>
  <si>
    <t>226,0185</t>
  </si>
  <si>
    <t>Насонов Дмитрий</t>
  </si>
  <si>
    <t>Open (13.02.1992)/24</t>
  </si>
  <si>
    <t xml:space="preserve">Лиски/Воронежская область </t>
  </si>
  <si>
    <t>Белкин Юрий</t>
  </si>
  <si>
    <t>Open (05.12.1990)/25</t>
  </si>
  <si>
    <t>0,6006</t>
  </si>
  <si>
    <t xml:space="preserve">Хабаровск/Хабаровский край </t>
  </si>
  <si>
    <t>420,0</t>
  </si>
  <si>
    <t>435,0</t>
  </si>
  <si>
    <t>420</t>
  </si>
  <si>
    <t>252,2520</t>
  </si>
  <si>
    <t>Морозов Константин</t>
  </si>
  <si>
    <t>Open (23.10.1984)/32</t>
  </si>
  <si>
    <t>400</t>
  </si>
  <si>
    <t>236,2000</t>
  </si>
  <si>
    <t xml:space="preserve">Сенькин Виктор </t>
  </si>
  <si>
    <t>Стоян Андреев</t>
  </si>
  <si>
    <t>Open (09.09.1978)/38</t>
  </si>
  <si>
    <t>114,90</t>
  </si>
  <si>
    <t>0,5812</t>
  </si>
  <si>
    <t>Болгария</t>
  </si>
  <si>
    <t>395</t>
  </si>
  <si>
    <t>229,5740</t>
  </si>
  <si>
    <t>Бодягин Иван</t>
  </si>
  <si>
    <t>Open (26.02.1987)/29</t>
  </si>
  <si>
    <t>116,60</t>
  </si>
  <si>
    <t>0,5790</t>
  </si>
  <si>
    <t>380</t>
  </si>
  <si>
    <t>220,0200</t>
  </si>
  <si>
    <t>Москвичев Алексей</t>
  </si>
  <si>
    <t>Open (02.03.1982)/34</t>
  </si>
  <si>
    <t>219,1125</t>
  </si>
  <si>
    <t>Вишницкий Алексей</t>
  </si>
  <si>
    <t>Харьков/Харьковская область</t>
  </si>
  <si>
    <t>370</t>
  </si>
  <si>
    <t>217,0420</t>
  </si>
  <si>
    <t>Макаров Иван</t>
  </si>
  <si>
    <t>Open (28.06.1991)/25</t>
  </si>
  <si>
    <t>130,10</t>
  </si>
  <si>
    <t>0,5655</t>
  </si>
  <si>
    <t>226,2000</t>
  </si>
  <si>
    <t>Шивляков Михаил</t>
  </si>
  <si>
    <t>Open (30.04.1980)/36</t>
  </si>
  <si>
    <t>138,80</t>
  </si>
  <si>
    <t>221,0025</t>
  </si>
  <si>
    <t>Кривоконев Владислав</t>
  </si>
  <si>
    <t>Open (07.08.1988)/28</t>
  </si>
  <si>
    <t>130,60</t>
  </si>
  <si>
    <t>0,5651</t>
  </si>
  <si>
    <t xml:space="preserve">Харьков/Харьковская область </t>
  </si>
  <si>
    <t>203,4360</t>
  </si>
  <si>
    <t>Цигельник Иван</t>
  </si>
  <si>
    <t>143,80</t>
  </si>
  <si>
    <t>0,5566</t>
  </si>
  <si>
    <t>222,6400</t>
  </si>
  <si>
    <t xml:space="preserve">Новый Уренгой/ </t>
  </si>
  <si>
    <t>Open (15.08.1981)/35</t>
  </si>
  <si>
    <t xml:space="preserve"> Open (29.08.1985)/31</t>
  </si>
  <si>
    <t>Казанцев Сергей</t>
  </si>
  <si>
    <t>0,6098</t>
  </si>
  <si>
    <t>Sub Junior 17-19 (28.02.1997)/19</t>
  </si>
  <si>
    <t>Sub Junior 17-19 (02.01.1998)/18</t>
  </si>
  <si>
    <t xml:space="preserve">Федоров Арсений </t>
  </si>
  <si>
    <t>Артемов Михаил</t>
  </si>
  <si>
    <t>100.70</t>
  </si>
  <si>
    <t>Санкт-Петербург/Ленинградская область</t>
  </si>
  <si>
    <t>103.1730</t>
  </si>
  <si>
    <t>Федоров Арсений</t>
  </si>
  <si>
    <t xml:space="preserve">Чемпионат мира WRPF                                                                                                                                                                                                         Любители - пауэрлифтинг
17 - 18 ноября 2016 </t>
  </si>
  <si>
    <t>218,5960</t>
  </si>
  <si>
    <t>539,6280</t>
  </si>
  <si>
    <t>500</t>
  </si>
  <si>
    <t>590,8000</t>
  </si>
  <si>
    <t>500,00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</si>
</sst>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trike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trike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7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7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6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indent="1"/>
    </xf>
    <xf numFmtId="49" fontId="2" fillId="0" borderId="2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22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7" fillId="0" borderId="16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0" fillId="0" borderId="19" xfId="0" applyNumberFormat="1" applyBorder="1" applyAlignment="1">
      <alignment/>
    </xf>
    <xf numFmtId="49" fontId="7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7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2" fillId="0" borderId="22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7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172" fontId="2" fillId="0" borderId="12" xfId="0" applyNumberFormat="1" applyFont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54" fillId="0" borderId="0" xfId="0" applyNumberFormat="1" applyFont="1" applyAlignment="1">
      <alignment horizontal="left" vertical="center"/>
    </xf>
    <xf numFmtId="172" fontId="2" fillId="0" borderId="13" xfId="0" applyNumberFormat="1" applyFont="1" applyBorder="1" applyAlignment="1">
      <alignment horizontal="center"/>
    </xf>
    <xf numFmtId="172" fontId="7" fillId="33" borderId="12" xfId="0" applyNumberFormat="1" applyFont="1" applyFill="1" applyBorder="1" applyAlignment="1">
      <alignment horizontal="center"/>
    </xf>
    <xf numFmtId="172" fontId="0" fillId="33" borderId="12" xfId="0" applyNumberFormat="1" applyFont="1" applyFill="1" applyBorder="1" applyAlignment="1">
      <alignment horizontal="center"/>
    </xf>
    <xf numFmtId="172" fontId="55" fillId="0" borderId="13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left"/>
    </xf>
    <xf numFmtId="172" fontId="0" fillId="0" borderId="13" xfId="0" applyNumberFormat="1" applyFont="1" applyBorder="1" applyAlignment="1">
      <alignment horizontal="left"/>
    </xf>
    <xf numFmtId="172" fontId="7" fillId="33" borderId="13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3" fillId="0" borderId="0" xfId="0" applyFont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7"/>
  <sheetViews>
    <sheetView tabSelected="1" zoomScale="81" zoomScaleNormal="81" zoomScalePageLayoutView="0" workbookViewId="0" topLeftCell="A1">
      <selection activeCell="A1" sqref="A1:U2"/>
    </sheetView>
  </sheetViews>
  <sheetFormatPr defaultColWidth="8.75390625" defaultRowHeight="12.75"/>
  <cols>
    <col min="1" max="1" width="28.25390625" style="4" bestFit="1" customWidth="1"/>
    <col min="2" max="2" width="27.75390625" style="4" customWidth="1"/>
    <col min="3" max="3" width="15.625" style="4" customWidth="1"/>
    <col min="4" max="4" width="8.375" style="4" bestFit="1" customWidth="1"/>
    <col min="5" max="5" width="13.75390625" style="4" customWidth="1"/>
    <col min="6" max="6" width="31.75390625" style="4" customWidth="1"/>
    <col min="7" max="18" width="5.625" style="4" bestFit="1" customWidth="1"/>
    <col min="19" max="19" width="7.875" style="4" bestFit="1" customWidth="1"/>
    <col min="20" max="20" width="8.625" style="4" bestFit="1" customWidth="1"/>
    <col min="21" max="21" width="23.125" style="4" customWidth="1"/>
  </cols>
  <sheetData>
    <row r="1" spans="1:21" s="1" customFormat="1" ht="15" customHeight="1">
      <c r="A1" s="102" t="s">
        <v>1493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</row>
    <row r="2" spans="1:21" s="1" customFormat="1" ht="114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7"/>
    </row>
    <row r="3" spans="1:21" s="2" customFormat="1" ht="12.75" customHeight="1">
      <c r="A3" s="108" t="s">
        <v>0</v>
      </c>
      <c r="B3" s="110" t="s">
        <v>1482</v>
      </c>
      <c r="C3" s="112" t="s">
        <v>1483</v>
      </c>
      <c r="D3" s="112" t="s">
        <v>8</v>
      </c>
      <c r="E3" s="112" t="s">
        <v>1490</v>
      </c>
      <c r="F3" s="112" t="s">
        <v>1491</v>
      </c>
      <c r="G3" s="112" t="s">
        <v>1</v>
      </c>
      <c r="H3" s="112"/>
      <c r="I3" s="112"/>
      <c r="J3" s="112"/>
      <c r="K3" s="112" t="s">
        <v>2</v>
      </c>
      <c r="L3" s="112"/>
      <c r="M3" s="112"/>
      <c r="N3" s="112"/>
      <c r="O3" s="112" t="s">
        <v>3</v>
      </c>
      <c r="P3" s="112"/>
      <c r="Q3" s="112"/>
      <c r="R3" s="112"/>
      <c r="S3" s="112" t="s">
        <v>4</v>
      </c>
      <c r="T3" s="112" t="s">
        <v>6</v>
      </c>
      <c r="U3" s="113" t="s">
        <v>5</v>
      </c>
    </row>
    <row r="4" spans="1:21" s="2" customFormat="1" ht="21" customHeight="1" thickBot="1">
      <c r="A4" s="109"/>
      <c r="B4" s="111"/>
      <c r="C4" s="111"/>
      <c r="D4" s="111"/>
      <c r="E4" s="111"/>
      <c r="F4" s="111"/>
      <c r="G4" s="3">
        <v>1</v>
      </c>
      <c r="H4" s="3">
        <v>2</v>
      </c>
      <c r="I4" s="3">
        <v>3</v>
      </c>
      <c r="J4" s="3" t="s">
        <v>7</v>
      </c>
      <c r="K4" s="3">
        <v>1</v>
      </c>
      <c r="L4" s="3">
        <v>2</v>
      </c>
      <c r="M4" s="3">
        <v>3</v>
      </c>
      <c r="N4" s="3" t="s">
        <v>7</v>
      </c>
      <c r="O4" s="3">
        <v>1</v>
      </c>
      <c r="P4" s="3">
        <v>2</v>
      </c>
      <c r="Q4" s="3">
        <v>3</v>
      </c>
      <c r="R4" s="3" t="s">
        <v>7</v>
      </c>
      <c r="S4" s="111"/>
      <c r="T4" s="111"/>
      <c r="U4" s="114"/>
    </row>
    <row r="5" spans="1:20" ht="15">
      <c r="A5" s="115" t="s">
        <v>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1" ht="12.75">
      <c r="A6" s="5" t="s">
        <v>141</v>
      </c>
      <c r="B6" s="5" t="s">
        <v>142</v>
      </c>
      <c r="C6" s="5" t="s">
        <v>143</v>
      </c>
      <c r="D6" s="5" t="str">
        <f>"1,4123"</f>
        <v>1,4123</v>
      </c>
      <c r="E6" s="5" t="s">
        <v>16</v>
      </c>
      <c r="F6" s="5" t="s">
        <v>1492</v>
      </c>
      <c r="G6" s="5" t="s">
        <v>31</v>
      </c>
      <c r="H6" s="6" t="s">
        <v>144</v>
      </c>
      <c r="I6" s="5" t="s">
        <v>50</v>
      </c>
      <c r="J6" s="6"/>
      <c r="K6" s="5" t="s">
        <v>145</v>
      </c>
      <c r="L6" s="5" t="s">
        <v>146</v>
      </c>
      <c r="M6" s="6" t="s">
        <v>13</v>
      </c>
      <c r="N6" s="6"/>
      <c r="O6" s="5" t="s">
        <v>17</v>
      </c>
      <c r="P6" s="5" t="s">
        <v>110</v>
      </c>
      <c r="Q6" s="5" t="s">
        <v>20</v>
      </c>
      <c r="R6" s="6"/>
      <c r="S6" s="5">
        <v>242.5</v>
      </c>
      <c r="T6" s="5" t="str">
        <f>"342,4827"</f>
        <v>342,4827</v>
      </c>
      <c r="U6" s="5" t="s">
        <v>147</v>
      </c>
    </row>
    <row r="8" spans="1:20" ht="15">
      <c r="A8" s="116" t="s">
        <v>148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1" ht="12.75">
      <c r="A9" s="7" t="s">
        <v>149</v>
      </c>
      <c r="B9" s="7" t="s">
        <v>150</v>
      </c>
      <c r="C9" s="7" t="s">
        <v>151</v>
      </c>
      <c r="D9" s="7" t="str">
        <f>"1,3387"</f>
        <v>1,3387</v>
      </c>
      <c r="E9" s="7" t="s">
        <v>16</v>
      </c>
      <c r="F9" s="7" t="s">
        <v>41</v>
      </c>
      <c r="G9" s="7" t="s">
        <v>26</v>
      </c>
      <c r="H9" s="7" t="s">
        <v>144</v>
      </c>
      <c r="I9" s="8" t="s">
        <v>45</v>
      </c>
      <c r="J9" s="8"/>
      <c r="K9" s="7" t="s">
        <v>152</v>
      </c>
      <c r="L9" s="8" t="s">
        <v>153</v>
      </c>
      <c r="M9" s="8" t="s">
        <v>153</v>
      </c>
      <c r="N9" s="8"/>
      <c r="O9" s="7" t="s">
        <v>31</v>
      </c>
      <c r="P9" s="7" t="s">
        <v>50</v>
      </c>
      <c r="Q9" s="8" t="s">
        <v>17</v>
      </c>
      <c r="R9" s="8"/>
      <c r="S9" s="7">
        <v>222.5</v>
      </c>
      <c r="T9" s="7" t="str">
        <f>"297,8608"</f>
        <v>297,8608</v>
      </c>
      <c r="U9" s="7" t="s">
        <v>154</v>
      </c>
    </row>
    <row r="10" spans="1:21" ht="12.75">
      <c r="A10" s="9" t="s">
        <v>155</v>
      </c>
      <c r="B10" s="9" t="s">
        <v>156</v>
      </c>
      <c r="C10" s="9" t="s">
        <v>157</v>
      </c>
      <c r="D10" s="9" t="str">
        <f>"1,3594"</f>
        <v>1,3594</v>
      </c>
      <c r="E10" s="9" t="s">
        <v>1484</v>
      </c>
      <c r="F10" s="9" t="s">
        <v>1494</v>
      </c>
      <c r="G10" s="9" t="s">
        <v>37</v>
      </c>
      <c r="H10" s="9" t="s">
        <v>31</v>
      </c>
      <c r="I10" s="10" t="s">
        <v>144</v>
      </c>
      <c r="J10" s="10"/>
      <c r="K10" s="9" t="s">
        <v>146</v>
      </c>
      <c r="L10" s="10" t="s">
        <v>13</v>
      </c>
      <c r="M10" s="9" t="s">
        <v>13</v>
      </c>
      <c r="N10" s="10"/>
      <c r="O10" s="9" t="s">
        <v>20</v>
      </c>
      <c r="P10" s="9" t="s">
        <v>18</v>
      </c>
      <c r="Q10" s="10" t="s">
        <v>24</v>
      </c>
      <c r="R10" s="10"/>
      <c r="S10" s="9">
        <v>240</v>
      </c>
      <c r="T10" s="9" t="str">
        <f>"326,2560"</f>
        <v>326,2560</v>
      </c>
      <c r="U10" s="9" t="s">
        <v>1509</v>
      </c>
    </row>
    <row r="11" spans="1:21" ht="12.75">
      <c r="A11" s="11" t="s">
        <v>158</v>
      </c>
      <c r="B11" s="11" t="s">
        <v>159</v>
      </c>
      <c r="C11" s="11" t="s">
        <v>160</v>
      </c>
      <c r="D11" s="11" t="str">
        <f>"1,3346"</f>
        <v>1,3346</v>
      </c>
      <c r="E11" s="11" t="s">
        <v>16</v>
      </c>
      <c r="F11" s="11" t="s">
        <v>161</v>
      </c>
      <c r="G11" s="12" t="s">
        <v>26</v>
      </c>
      <c r="H11" s="11" t="s">
        <v>26</v>
      </c>
      <c r="I11" s="12" t="s">
        <v>31</v>
      </c>
      <c r="J11" s="12"/>
      <c r="K11" s="11" t="s">
        <v>162</v>
      </c>
      <c r="L11" s="12" t="s">
        <v>146</v>
      </c>
      <c r="M11" s="12" t="s">
        <v>146</v>
      </c>
      <c r="N11" s="12"/>
      <c r="O11" s="12" t="s">
        <v>50</v>
      </c>
      <c r="P11" s="11" t="s">
        <v>50</v>
      </c>
      <c r="Q11" s="11" t="s">
        <v>17</v>
      </c>
      <c r="R11" s="12"/>
      <c r="S11" s="11">
        <v>207.5</v>
      </c>
      <c r="T11" s="11" t="str">
        <f>"276,9295"</f>
        <v>276,9295</v>
      </c>
      <c r="U11" s="11" t="s">
        <v>1510</v>
      </c>
    </row>
    <row r="13" spans="1:20" ht="15">
      <c r="A13" s="116" t="s">
        <v>14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</row>
    <row r="14" spans="1:21" ht="12.75">
      <c r="A14" s="7" t="s">
        <v>163</v>
      </c>
      <c r="B14" s="7" t="s">
        <v>164</v>
      </c>
      <c r="C14" s="7" t="s">
        <v>165</v>
      </c>
      <c r="D14" s="7" t="str">
        <f>"1,2635"</f>
        <v>1,2635</v>
      </c>
      <c r="E14" s="7" t="s">
        <v>16</v>
      </c>
      <c r="F14" s="7" t="s">
        <v>71</v>
      </c>
      <c r="G14" s="8" t="s">
        <v>144</v>
      </c>
      <c r="H14" s="8" t="s">
        <v>50</v>
      </c>
      <c r="I14" s="8" t="s">
        <v>50</v>
      </c>
      <c r="J14" s="8"/>
      <c r="K14" s="8"/>
      <c r="L14" s="8"/>
      <c r="M14" s="8"/>
      <c r="N14" s="8"/>
      <c r="O14" s="8" t="s">
        <v>26</v>
      </c>
      <c r="P14" s="8"/>
      <c r="Q14" s="8"/>
      <c r="R14" s="8"/>
      <c r="S14" s="7">
        <v>0</v>
      </c>
      <c r="T14" s="7" t="str">
        <f>"0,0000"</f>
        <v>0,0000</v>
      </c>
      <c r="U14" s="7" t="s">
        <v>154</v>
      </c>
    </row>
    <row r="15" spans="1:21" ht="12.75">
      <c r="A15" s="9" t="s">
        <v>166</v>
      </c>
      <c r="B15" s="9" t="s">
        <v>167</v>
      </c>
      <c r="C15" s="9" t="s">
        <v>15</v>
      </c>
      <c r="D15" s="9" t="str">
        <f>"1,2730"</f>
        <v>1,2730</v>
      </c>
      <c r="E15" s="9" t="s">
        <v>16</v>
      </c>
      <c r="F15" s="9" t="s">
        <v>1501</v>
      </c>
      <c r="G15" s="9" t="s">
        <v>26</v>
      </c>
      <c r="H15" s="10" t="s">
        <v>168</v>
      </c>
      <c r="I15" s="10" t="s">
        <v>168</v>
      </c>
      <c r="J15" s="10"/>
      <c r="K15" s="9" t="s">
        <v>145</v>
      </c>
      <c r="L15" s="9" t="s">
        <v>146</v>
      </c>
      <c r="M15" s="10" t="s">
        <v>13</v>
      </c>
      <c r="N15" s="10"/>
      <c r="O15" s="9" t="s">
        <v>20</v>
      </c>
      <c r="P15" s="9" t="s">
        <v>18</v>
      </c>
      <c r="Q15" s="9" t="s">
        <v>169</v>
      </c>
      <c r="R15" s="10"/>
      <c r="S15" s="9">
        <v>230</v>
      </c>
      <c r="T15" s="9" t="str">
        <f>"292,7900"</f>
        <v>292,7900</v>
      </c>
      <c r="U15" s="9" t="s">
        <v>1511</v>
      </c>
    </row>
    <row r="16" spans="1:21" ht="12.75">
      <c r="A16" s="9" t="s">
        <v>170</v>
      </c>
      <c r="B16" s="9" t="s">
        <v>171</v>
      </c>
      <c r="C16" s="9" t="s">
        <v>172</v>
      </c>
      <c r="D16" s="9" t="str">
        <f>"1,2808"</f>
        <v>1,2808</v>
      </c>
      <c r="E16" s="9" t="s">
        <v>16</v>
      </c>
      <c r="F16" s="9" t="s">
        <v>1492</v>
      </c>
      <c r="G16" s="9" t="s">
        <v>37</v>
      </c>
      <c r="H16" s="9" t="s">
        <v>144</v>
      </c>
      <c r="I16" s="9" t="s">
        <v>50</v>
      </c>
      <c r="J16" s="10"/>
      <c r="K16" s="9" t="s">
        <v>173</v>
      </c>
      <c r="L16" s="10" t="s">
        <v>19</v>
      </c>
      <c r="M16" s="10" t="s">
        <v>19</v>
      </c>
      <c r="N16" s="10"/>
      <c r="O16" s="9" t="s">
        <v>110</v>
      </c>
      <c r="P16" s="10" t="s">
        <v>20</v>
      </c>
      <c r="Q16" s="9" t="s">
        <v>20</v>
      </c>
      <c r="R16" s="10"/>
      <c r="S16" s="9">
        <v>250</v>
      </c>
      <c r="T16" s="9" t="str">
        <f>"320,2000"</f>
        <v>320,2000</v>
      </c>
      <c r="U16" s="9" t="s">
        <v>174</v>
      </c>
    </row>
    <row r="17" spans="1:21" ht="12.75">
      <c r="A17" s="11" t="s">
        <v>166</v>
      </c>
      <c r="B17" s="11" t="s">
        <v>175</v>
      </c>
      <c r="C17" s="11" t="s">
        <v>15</v>
      </c>
      <c r="D17" s="11" t="str">
        <f>"1,2730"</f>
        <v>1,2730</v>
      </c>
      <c r="E17" s="11" t="s">
        <v>16</v>
      </c>
      <c r="F17" s="11" t="s">
        <v>1501</v>
      </c>
      <c r="G17" s="11" t="s">
        <v>26</v>
      </c>
      <c r="H17" s="12" t="s">
        <v>168</v>
      </c>
      <c r="I17" s="12" t="s">
        <v>168</v>
      </c>
      <c r="J17" s="12"/>
      <c r="K17" s="11" t="s">
        <v>145</v>
      </c>
      <c r="L17" s="11" t="s">
        <v>146</v>
      </c>
      <c r="M17" s="12" t="s">
        <v>13</v>
      </c>
      <c r="N17" s="12"/>
      <c r="O17" s="11" t="s">
        <v>20</v>
      </c>
      <c r="P17" s="11" t="s">
        <v>18</v>
      </c>
      <c r="Q17" s="11" t="s">
        <v>169</v>
      </c>
      <c r="R17" s="12"/>
      <c r="S17" s="11">
        <v>230</v>
      </c>
      <c r="T17" s="11" t="str">
        <f>"292,7900"</f>
        <v>292,7900</v>
      </c>
      <c r="U17" s="11" t="s">
        <v>1512</v>
      </c>
    </row>
    <row r="19" spans="1:20" ht="15">
      <c r="A19" s="116" t="s">
        <v>21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1:21" ht="12.75">
      <c r="A20" s="7" t="s">
        <v>176</v>
      </c>
      <c r="B20" s="7" t="s">
        <v>177</v>
      </c>
      <c r="C20" s="7" t="s">
        <v>178</v>
      </c>
      <c r="D20" s="7" t="str">
        <f>"1,1883"</f>
        <v>1,1883</v>
      </c>
      <c r="E20" s="7" t="s">
        <v>16</v>
      </c>
      <c r="F20" s="7" t="s">
        <v>179</v>
      </c>
      <c r="G20" s="7" t="s">
        <v>26</v>
      </c>
      <c r="H20" s="8" t="s">
        <v>37</v>
      </c>
      <c r="I20" s="8" t="s">
        <v>37</v>
      </c>
      <c r="J20" s="8"/>
      <c r="K20" s="8" t="s">
        <v>152</v>
      </c>
      <c r="L20" s="8" t="s">
        <v>173</v>
      </c>
      <c r="M20" s="8" t="s">
        <v>173</v>
      </c>
      <c r="N20" s="8"/>
      <c r="O20" s="8" t="s">
        <v>180</v>
      </c>
      <c r="P20" s="8"/>
      <c r="Q20" s="8"/>
      <c r="R20" s="8"/>
      <c r="S20" s="7">
        <v>0</v>
      </c>
      <c r="T20" s="7" t="str">
        <f>"0,0000"</f>
        <v>0,0000</v>
      </c>
      <c r="U20" s="7" t="s">
        <v>181</v>
      </c>
    </row>
    <row r="21" spans="1:21" ht="12.75">
      <c r="A21" s="9" t="s">
        <v>182</v>
      </c>
      <c r="B21" s="9" t="s">
        <v>183</v>
      </c>
      <c r="C21" s="9" t="s">
        <v>184</v>
      </c>
      <c r="D21" s="9" t="str">
        <f>"1,1832"</f>
        <v>1,1832</v>
      </c>
      <c r="E21" s="9" t="s">
        <v>16</v>
      </c>
      <c r="F21" s="9" t="s">
        <v>1492</v>
      </c>
      <c r="G21" s="9" t="s">
        <v>110</v>
      </c>
      <c r="H21" s="9" t="s">
        <v>20</v>
      </c>
      <c r="I21" s="10" t="s">
        <v>18</v>
      </c>
      <c r="J21" s="10"/>
      <c r="K21" s="9" t="s">
        <v>153</v>
      </c>
      <c r="L21" s="9" t="s">
        <v>19</v>
      </c>
      <c r="M21" s="10" t="s">
        <v>185</v>
      </c>
      <c r="N21" s="10"/>
      <c r="O21" s="9" t="s">
        <v>58</v>
      </c>
      <c r="P21" s="9" t="s">
        <v>33</v>
      </c>
      <c r="Q21" s="10" t="s">
        <v>38</v>
      </c>
      <c r="R21" s="10"/>
      <c r="S21" s="9">
        <v>305</v>
      </c>
      <c r="T21" s="9" t="str">
        <f>"360,8760"</f>
        <v>360,8760</v>
      </c>
      <c r="U21" s="9" t="s">
        <v>174</v>
      </c>
    </row>
    <row r="22" spans="1:21" ht="12.75">
      <c r="A22" s="9" t="s">
        <v>186</v>
      </c>
      <c r="B22" s="9" t="s">
        <v>187</v>
      </c>
      <c r="C22" s="9" t="s">
        <v>188</v>
      </c>
      <c r="D22" s="9" t="str">
        <f>"1,1900"</f>
        <v>1,1900</v>
      </c>
      <c r="E22" s="9" t="s">
        <v>16</v>
      </c>
      <c r="F22" s="9" t="s">
        <v>47</v>
      </c>
      <c r="G22" s="10" t="s">
        <v>20</v>
      </c>
      <c r="H22" s="10" t="s">
        <v>20</v>
      </c>
      <c r="I22" s="9" t="s">
        <v>20</v>
      </c>
      <c r="J22" s="10"/>
      <c r="K22" s="9" t="s">
        <v>13</v>
      </c>
      <c r="L22" s="10" t="s">
        <v>173</v>
      </c>
      <c r="M22" s="10" t="s">
        <v>173</v>
      </c>
      <c r="N22" s="10"/>
      <c r="O22" s="9" t="s">
        <v>25</v>
      </c>
      <c r="P22" s="9" t="s">
        <v>33</v>
      </c>
      <c r="Q22" s="9" t="s">
        <v>189</v>
      </c>
      <c r="R22" s="10"/>
      <c r="S22" s="9">
        <v>302.5</v>
      </c>
      <c r="T22" s="9" t="str">
        <f>"359,9750"</f>
        <v>359,9750</v>
      </c>
      <c r="U22" s="9" t="s">
        <v>190</v>
      </c>
    </row>
    <row r="23" spans="1:21" ht="12.75">
      <c r="A23" s="9" t="s">
        <v>191</v>
      </c>
      <c r="B23" s="9" t="s">
        <v>192</v>
      </c>
      <c r="C23" s="9" t="s">
        <v>193</v>
      </c>
      <c r="D23" s="9" t="str">
        <f>"1,1933"</f>
        <v>1,1933</v>
      </c>
      <c r="E23" s="9" t="s">
        <v>1484</v>
      </c>
      <c r="F23" s="9" t="s">
        <v>1494</v>
      </c>
      <c r="G23" s="9" t="s">
        <v>17</v>
      </c>
      <c r="H23" s="10" t="s">
        <v>110</v>
      </c>
      <c r="I23" s="10" t="s">
        <v>110</v>
      </c>
      <c r="J23" s="10"/>
      <c r="K23" s="10" t="s">
        <v>152</v>
      </c>
      <c r="L23" s="10" t="s">
        <v>152</v>
      </c>
      <c r="M23" s="10" t="s">
        <v>152</v>
      </c>
      <c r="N23" s="10"/>
      <c r="O23" s="10" t="s">
        <v>18</v>
      </c>
      <c r="P23" s="10"/>
      <c r="Q23" s="10"/>
      <c r="R23" s="10"/>
      <c r="S23" s="9">
        <v>0</v>
      </c>
      <c r="T23" s="9" t="str">
        <f>"0,0000"</f>
        <v>0,0000</v>
      </c>
      <c r="U23" s="9" t="s">
        <v>194</v>
      </c>
    </row>
    <row r="24" spans="1:21" ht="12.75">
      <c r="A24" s="11" t="s">
        <v>195</v>
      </c>
      <c r="B24" s="11" t="s">
        <v>192</v>
      </c>
      <c r="C24" s="11" t="s">
        <v>22</v>
      </c>
      <c r="D24" s="11" t="str">
        <f>"1,1766"</f>
        <v>1,1766</v>
      </c>
      <c r="E24" s="11" t="s">
        <v>1484</v>
      </c>
      <c r="F24" s="11" t="s">
        <v>1495</v>
      </c>
      <c r="G24" s="12" t="s">
        <v>82</v>
      </c>
      <c r="H24" s="12" t="s">
        <v>110</v>
      </c>
      <c r="I24" s="12" t="s">
        <v>110</v>
      </c>
      <c r="J24" s="12"/>
      <c r="K24" s="12" t="s">
        <v>152</v>
      </c>
      <c r="L24" s="12"/>
      <c r="M24" s="12"/>
      <c r="N24" s="12"/>
      <c r="O24" s="12" t="s">
        <v>18</v>
      </c>
      <c r="P24" s="12"/>
      <c r="Q24" s="12"/>
      <c r="R24" s="12"/>
      <c r="S24" s="11">
        <v>0</v>
      </c>
      <c r="T24" s="11" t="str">
        <f>"0,0000"</f>
        <v>0,0000</v>
      </c>
      <c r="U24" s="11" t="s">
        <v>194</v>
      </c>
    </row>
    <row r="26" spans="1:20" ht="15">
      <c r="A26" s="116" t="s">
        <v>28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</row>
    <row r="27" spans="1:21" ht="12.75">
      <c r="A27" s="7" t="s">
        <v>196</v>
      </c>
      <c r="B27" s="7" t="s">
        <v>197</v>
      </c>
      <c r="C27" s="7" t="s">
        <v>198</v>
      </c>
      <c r="D27" s="7" t="str">
        <f>"1,1163"</f>
        <v>1,1163</v>
      </c>
      <c r="E27" s="7" t="s">
        <v>16</v>
      </c>
      <c r="F27" s="7" t="s">
        <v>199</v>
      </c>
      <c r="G27" s="7" t="s">
        <v>33</v>
      </c>
      <c r="H27" s="7" t="s">
        <v>35</v>
      </c>
      <c r="I27" s="8" t="s">
        <v>59</v>
      </c>
      <c r="J27" s="8"/>
      <c r="K27" s="7" t="s">
        <v>31</v>
      </c>
      <c r="L27" s="8" t="s">
        <v>144</v>
      </c>
      <c r="M27" s="7" t="s">
        <v>144</v>
      </c>
      <c r="N27" s="8"/>
      <c r="O27" s="7" t="s">
        <v>33</v>
      </c>
      <c r="P27" s="7" t="s">
        <v>35</v>
      </c>
      <c r="Q27" s="8" t="s">
        <v>59</v>
      </c>
      <c r="R27" s="8"/>
      <c r="S27" s="7">
        <v>385</v>
      </c>
      <c r="T27" s="7" t="str">
        <f>"429,7755"</f>
        <v>429,7755</v>
      </c>
      <c r="U27" s="7" t="s">
        <v>200</v>
      </c>
    </row>
    <row r="28" spans="1:21" ht="12.75">
      <c r="A28" s="9" t="s">
        <v>201</v>
      </c>
      <c r="B28" s="9" t="s">
        <v>202</v>
      </c>
      <c r="C28" s="9" t="s">
        <v>203</v>
      </c>
      <c r="D28" s="9" t="str">
        <f>"1,1295"</f>
        <v>1,1295</v>
      </c>
      <c r="E28" s="9" t="s">
        <v>16</v>
      </c>
      <c r="F28" s="9" t="s">
        <v>1501</v>
      </c>
      <c r="G28" s="9" t="s">
        <v>26</v>
      </c>
      <c r="H28" s="9" t="s">
        <v>37</v>
      </c>
      <c r="I28" s="9" t="s">
        <v>31</v>
      </c>
      <c r="J28" s="10"/>
      <c r="K28" s="9" t="s">
        <v>12</v>
      </c>
      <c r="L28" s="9" t="s">
        <v>162</v>
      </c>
      <c r="M28" s="10" t="s">
        <v>145</v>
      </c>
      <c r="N28" s="10"/>
      <c r="O28" s="9" t="s">
        <v>37</v>
      </c>
      <c r="P28" s="9" t="s">
        <v>31</v>
      </c>
      <c r="Q28" s="10" t="s">
        <v>144</v>
      </c>
      <c r="R28" s="10"/>
      <c r="S28" s="9">
        <v>197.5</v>
      </c>
      <c r="T28" s="9" t="str">
        <f>"223,0763"</f>
        <v>223,0763</v>
      </c>
      <c r="U28" s="9" t="s">
        <v>204</v>
      </c>
    </row>
    <row r="29" spans="1:21" ht="12.75">
      <c r="A29" s="9" t="s">
        <v>205</v>
      </c>
      <c r="B29" s="9" t="s">
        <v>206</v>
      </c>
      <c r="C29" s="9" t="s">
        <v>207</v>
      </c>
      <c r="D29" s="9" t="str">
        <f>"1,1178"</f>
        <v>1,1178</v>
      </c>
      <c r="E29" s="9" t="s">
        <v>16</v>
      </c>
      <c r="F29" s="9" t="s">
        <v>1492</v>
      </c>
      <c r="G29" s="9" t="s">
        <v>50</v>
      </c>
      <c r="H29" s="10" t="s">
        <v>208</v>
      </c>
      <c r="I29" s="9" t="s">
        <v>208</v>
      </c>
      <c r="J29" s="10"/>
      <c r="K29" s="9" t="s">
        <v>209</v>
      </c>
      <c r="L29" s="9" t="s">
        <v>210</v>
      </c>
      <c r="M29" s="10" t="s">
        <v>211</v>
      </c>
      <c r="N29" s="10"/>
      <c r="O29" s="9" t="s">
        <v>58</v>
      </c>
      <c r="P29" s="10" t="s">
        <v>189</v>
      </c>
      <c r="Q29" s="10" t="s">
        <v>189</v>
      </c>
      <c r="R29" s="10"/>
      <c r="S29" s="9">
        <v>300</v>
      </c>
      <c r="T29" s="9" t="str">
        <f>"335,3400"</f>
        <v>335,3400</v>
      </c>
      <c r="U29" s="9" t="s">
        <v>174</v>
      </c>
    </row>
    <row r="30" spans="1:21" ht="12.75">
      <c r="A30" s="9" t="s">
        <v>212</v>
      </c>
      <c r="B30" s="9" t="s">
        <v>213</v>
      </c>
      <c r="C30" s="9" t="s">
        <v>214</v>
      </c>
      <c r="D30" s="9" t="str">
        <f>"1,1281"</f>
        <v>1,1281</v>
      </c>
      <c r="E30" s="9" t="s">
        <v>16</v>
      </c>
      <c r="F30" s="9" t="s">
        <v>215</v>
      </c>
      <c r="G30" s="9" t="s">
        <v>180</v>
      </c>
      <c r="H30" s="9" t="s">
        <v>110</v>
      </c>
      <c r="I30" s="10" t="s">
        <v>20</v>
      </c>
      <c r="J30" s="10"/>
      <c r="K30" s="9" t="s">
        <v>173</v>
      </c>
      <c r="L30" s="9" t="s">
        <v>153</v>
      </c>
      <c r="M30" s="9" t="s">
        <v>19</v>
      </c>
      <c r="N30" s="10"/>
      <c r="O30" s="9" t="s">
        <v>24</v>
      </c>
      <c r="P30" s="9" t="s">
        <v>216</v>
      </c>
      <c r="Q30" s="10" t="s">
        <v>25</v>
      </c>
      <c r="R30" s="10"/>
      <c r="S30" s="9">
        <v>287.5</v>
      </c>
      <c r="T30" s="9" t="str">
        <f>"324,3288"</f>
        <v>324,3288</v>
      </c>
      <c r="U30" s="9" t="s">
        <v>27</v>
      </c>
    </row>
    <row r="31" spans="1:21" ht="12.75">
      <c r="A31" s="11" t="s">
        <v>217</v>
      </c>
      <c r="B31" s="11" t="s">
        <v>218</v>
      </c>
      <c r="C31" s="11" t="s">
        <v>219</v>
      </c>
      <c r="D31" s="11" t="str">
        <f>"1,1478"</f>
        <v>1,1478</v>
      </c>
      <c r="E31" s="11" t="s">
        <v>1485</v>
      </c>
      <c r="F31" s="11" t="s">
        <v>1496</v>
      </c>
      <c r="G31" s="11" t="s">
        <v>110</v>
      </c>
      <c r="H31" s="12" t="s">
        <v>20</v>
      </c>
      <c r="I31" s="11" t="s">
        <v>20</v>
      </c>
      <c r="J31" s="12"/>
      <c r="K31" s="11" t="s">
        <v>185</v>
      </c>
      <c r="L31" s="12" t="s">
        <v>209</v>
      </c>
      <c r="M31" s="11" t="s">
        <v>209</v>
      </c>
      <c r="N31" s="12"/>
      <c r="O31" s="11" t="s">
        <v>17</v>
      </c>
      <c r="P31" s="11" t="s">
        <v>110</v>
      </c>
      <c r="Q31" s="12" t="s">
        <v>169</v>
      </c>
      <c r="R31" s="12"/>
      <c r="S31" s="11">
        <v>275</v>
      </c>
      <c r="T31" s="11" t="str">
        <f>"340,2653"</f>
        <v>340,2653</v>
      </c>
      <c r="U31" s="11" t="s">
        <v>220</v>
      </c>
    </row>
    <row r="33" spans="1:20" ht="15">
      <c r="A33" s="116" t="s">
        <v>32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</row>
    <row r="34" spans="1:21" ht="12.75">
      <c r="A34" s="7" t="s">
        <v>221</v>
      </c>
      <c r="B34" s="7" t="s">
        <v>222</v>
      </c>
      <c r="C34" s="7" t="s">
        <v>223</v>
      </c>
      <c r="D34" s="7" t="str">
        <f>"1,0539"</f>
        <v>1,0539</v>
      </c>
      <c r="E34" s="7" t="s">
        <v>16</v>
      </c>
      <c r="F34" s="7" t="s">
        <v>224</v>
      </c>
      <c r="G34" s="7" t="s">
        <v>18</v>
      </c>
      <c r="H34" s="7" t="s">
        <v>225</v>
      </c>
      <c r="I34" s="7" t="s">
        <v>25</v>
      </c>
      <c r="J34" s="8"/>
      <c r="K34" s="7" t="s">
        <v>13</v>
      </c>
      <c r="L34" s="8" t="s">
        <v>153</v>
      </c>
      <c r="M34" s="8" t="s">
        <v>153</v>
      </c>
      <c r="N34" s="8"/>
      <c r="O34" s="7" t="s">
        <v>18</v>
      </c>
      <c r="P34" s="7" t="s">
        <v>225</v>
      </c>
      <c r="Q34" s="7" t="s">
        <v>30</v>
      </c>
      <c r="R34" s="8"/>
      <c r="S34" s="7">
        <v>300</v>
      </c>
      <c r="T34" s="7" t="str">
        <f>"316,1700"</f>
        <v>316,1700</v>
      </c>
      <c r="U34" s="7" t="s">
        <v>226</v>
      </c>
    </row>
    <row r="35" spans="1:21" ht="12.75">
      <c r="A35" s="9" t="s">
        <v>227</v>
      </c>
      <c r="B35" s="9" t="s">
        <v>228</v>
      </c>
      <c r="C35" s="9" t="s">
        <v>34</v>
      </c>
      <c r="D35" s="9" t="str">
        <f>"1,0283"</f>
        <v>1,0283</v>
      </c>
      <c r="E35" s="9" t="s">
        <v>16</v>
      </c>
      <c r="F35" s="9" t="s">
        <v>55</v>
      </c>
      <c r="G35" s="10" t="s">
        <v>17</v>
      </c>
      <c r="H35" s="10" t="s">
        <v>17</v>
      </c>
      <c r="I35" s="10" t="s">
        <v>110</v>
      </c>
      <c r="J35" s="10"/>
      <c r="K35" s="10" t="s">
        <v>173</v>
      </c>
      <c r="L35" s="10"/>
      <c r="M35" s="10"/>
      <c r="N35" s="10"/>
      <c r="O35" s="10" t="s">
        <v>20</v>
      </c>
      <c r="P35" s="10"/>
      <c r="Q35" s="10"/>
      <c r="R35" s="10"/>
      <c r="S35" s="9">
        <v>0</v>
      </c>
      <c r="T35" s="9" t="str">
        <f>"0,0000"</f>
        <v>0,0000</v>
      </c>
      <c r="U35" s="9" t="s">
        <v>229</v>
      </c>
    </row>
    <row r="36" spans="1:21" ht="12.75">
      <c r="A36" s="9" t="s">
        <v>230</v>
      </c>
      <c r="B36" s="9" t="s">
        <v>231</v>
      </c>
      <c r="C36" s="9" t="s">
        <v>232</v>
      </c>
      <c r="D36" s="21" t="str">
        <f>"1,0455"</f>
        <v>1,0455</v>
      </c>
      <c r="E36" s="9" t="s">
        <v>1485</v>
      </c>
      <c r="F36" s="22" t="s">
        <v>1496</v>
      </c>
      <c r="G36" s="10" t="s">
        <v>58</v>
      </c>
      <c r="H36" s="10" t="s">
        <v>130</v>
      </c>
      <c r="I36" s="9" t="s">
        <v>130</v>
      </c>
      <c r="J36" s="10"/>
      <c r="K36" s="9" t="s">
        <v>209</v>
      </c>
      <c r="L36" s="10" t="s">
        <v>211</v>
      </c>
      <c r="M36" s="10" t="s">
        <v>211</v>
      </c>
      <c r="N36" s="10"/>
      <c r="O36" s="9" t="s">
        <v>24</v>
      </c>
      <c r="P36" s="10" t="s">
        <v>25</v>
      </c>
      <c r="Q36" s="10" t="s">
        <v>25</v>
      </c>
      <c r="R36" s="10"/>
      <c r="S36" s="9">
        <v>322.5</v>
      </c>
      <c r="T36" s="9" t="str">
        <f>"337,1738"</f>
        <v>337,1738</v>
      </c>
      <c r="U36" s="9" t="s">
        <v>220</v>
      </c>
    </row>
    <row r="37" spans="1:21" ht="12.75">
      <c r="A37" s="9" t="s">
        <v>233</v>
      </c>
      <c r="B37" s="9" t="s">
        <v>234</v>
      </c>
      <c r="C37" s="9" t="s">
        <v>235</v>
      </c>
      <c r="D37" s="9" t="str">
        <f>"1,0564"</f>
        <v>1,0564</v>
      </c>
      <c r="E37" s="9" t="s">
        <v>16</v>
      </c>
      <c r="F37" s="9" t="s">
        <v>1492</v>
      </c>
      <c r="G37" s="10" t="s">
        <v>17</v>
      </c>
      <c r="H37" s="9" t="s">
        <v>17</v>
      </c>
      <c r="I37" s="10" t="s">
        <v>20</v>
      </c>
      <c r="J37" s="10"/>
      <c r="K37" s="10" t="s">
        <v>13</v>
      </c>
      <c r="L37" s="9" t="s">
        <v>13</v>
      </c>
      <c r="M37" s="10" t="s">
        <v>173</v>
      </c>
      <c r="N37" s="10"/>
      <c r="O37" s="9" t="s">
        <v>20</v>
      </c>
      <c r="P37" s="9" t="s">
        <v>24</v>
      </c>
      <c r="Q37" s="9" t="s">
        <v>30</v>
      </c>
      <c r="R37" s="10"/>
      <c r="S37" s="9">
        <v>270</v>
      </c>
      <c r="T37" s="9" t="str">
        <f>"285,2280"</f>
        <v>285,2280</v>
      </c>
      <c r="U37" s="9" t="s">
        <v>236</v>
      </c>
    </row>
    <row r="38" spans="1:21" ht="12.75">
      <c r="A38" s="9" t="s">
        <v>237</v>
      </c>
      <c r="B38" s="9" t="s">
        <v>238</v>
      </c>
      <c r="C38" s="9" t="s">
        <v>239</v>
      </c>
      <c r="D38" s="9" t="str">
        <f>"1,0527"</f>
        <v>1,0527</v>
      </c>
      <c r="E38" s="9" t="s">
        <v>16</v>
      </c>
      <c r="F38" s="9" t="s">
        <v>240</v>
      </c>
      <c r="G38" s="10" t="s">
        <v>144</v>
      </c>
      <c r="H38" s="9" t="s">
        <v>144</v>
      </c>
      <c r="I38" s="9" t="s">
        <v>50</v>
      </c>
      <c r="J38" s="10"/>
      <c r="K38" s="10" t="s">
        <v>185</v>
      </c>
      <c r="L38" s="9" t="s">
        <v>185</v>
      </c>
      <c r="M38" s="10" t="s">
        <v>209</v>
      </c>
      <c r="N38" s="10"/>
      <c r="O38" s="9" t="s">
        <v>144</v>
      </c>
      <c r="P38" s="9" t="s">
        <v>45</v>
      </c>
      <c r="Q38" s="9" t="s">
        <v>180</v>
      </c>
      <c r="R38" s="10"/>
      <c r="S38" s="9">
        <v>242.5</v>
      </c>
      <c r="T38" s="9" t="str">
        <f>"255,2798"</f>
        <v>255,2798</v>
      </c>
      <c r="U38" s="9" t="s">
        <v>27</v>
      </c>
    </row>
    <row r="39" spans="1:21" ht="12.75">
      <c r="A39" s="9" t="s">
        <v>230</v>
      </c>
      <c r="B39" s="9" t="s">
        <v>231</v>
      </c>
      <c r="C39" s="9" t="s">
        <v>53</v>
      </c>
      <c r="D39" s="9" t="str">
        <f>"1,0317"</f>
        <v>1,0317</v>
      </c>
      <c r="E39" s="9" t="s">
        <v>23</v>
      </c>
      <c r="F39" s="9" t="s">
        <v>1496</v>
      </c>
      <c r="G39" s="10" t="s">
        <v>58</v>
      </c>
      <c r="H39" s="10"/>
      <c r="I39" s="10"/>
      <c r="J39" s="10"/>
      <c r="K39" s="10" t="s">
        <v>209</v>
      </c>
      <c r="L39" s="10"/>
      <c r="M39" s="10"/>
      <c r="N39" s="10"/>
      <c r="O39" s="10" t="s">
        <v>24</v>
      </c>
      <c r="P39" s="10"/>
      <c r="Q39" s="10"/>
      <c r="R39" s="10"/>
      <c r="S39" s="9">
        <v>0</v>
      </c>
      <c r="T39" s="9" t="str">
        <f>"0,0000"</f>
        <v>0,0000</v>
      </c>
      <c r="U39" s="9" t="s">
        <v>220</v>
      </c>
    </row>
    <row r="40" spans="1:21" ht="12.75">
      <c r="A40" s="9" t="s">
        <v>241</v>
      </c>
      <c r="B40" s="9" t="s">
        <v>242</v>
      </c>
      <c r="C40" s="9" t="s">
        <v>53</v>
      </c>
      <c r="D40" s="9" t="str">
        <f>"1,0317"</f>
        <v>1,0317</v>
      </c>
      <c r="E40" s="9" t="s">
        <v>16</v>
      </c>
      <c r="F40" s="9" t="s">
        <v>134</v>
      </c>
      <c r="G40" s="9" t="s">
        <v>211</v>
      </c>
      <c r="H40" s="9" t="s">
        <v>26</v>
      </c>
      <c r="I40" s="10" t="s">
        <v>37</v>
      </c>
      <c r="J40" s="10"/>
      <c r="K40" s="9" t="s">
        <v>11</v>
      </c>
      <c r="L40" s="9" t="s">
        <v>162</v>
      </c>
      <c r="M40" s="10" t="s">
        <v>145</v>
      </c>
      <c r="N40" s="10"/>
      <c r="O40" s="9" t="s">
        <v>26</v>
      </c>
      <c r="P40" s="10" t="s">
        <v>168</v>
      </c>
      <c r="Q40" s="10" t="s">
        <v>168</v>
      </c>
      <c r="R40" s="10"/>
      <c r="S40" s="9">
        <v>177.5</v>
      </c>
      <c r="T40" s="9" t="str">
        <f>"191,1843"</f>
        <v>191,1843</v>
      </c>
      <c r="U40" s="9" t="s">
        <v>243</v>
      </c>
    </row>
    <row r="41" spans="1:21" ht="12.75">
      <c r="A41" s="11" t="s">
        <v>244</v>
      </c>
      <c r="B41" s="11" t="s">
        <v>245</v>
      </c>
      <c r="C41" s="11" t="s">
        <v>246</v>
      </c>
      <c r="D41" s="11" t="str">
        <f>"1,0217"</f>
        <v>1,0217</v>
      </c>
      <c r="E41" s="11" t="s">
        <v>16</v>
      </c>
      <c r="F41" s="11" t="s">
        <v>1492</v>
      </c>
      <c r="G41" s="12" t="s">
        <v>50</v>
      </c>
      <c r="H41" s="12" t="s">
        <v>180</v>
      </c>
      <c r="I41" s="12" t="s">
        <v>180</v>
      </c>
      <c r="J41" s="12"/>
      <c r="K41" s="12" t="s">
        <v>13</v>
      </c>
      <c r="L41" s="12"/>
      <c r="M41" s="12"/>
      <c r="N41" s="12"/>
      <c r="O41" s="12" t="s">
        <v>50</v>
      </c>
      <c r="P41" s="12"/>
      <c r="Q41" s="12"/>
      <c r="R41" s="12"/>
      <c r="S41" s="11">
        <v>0</v>
      </c>
      <c r="T41" s="11" t="str">
        <f>"0,0000"</f>
        <v>0,0000</v>
      </c>
      <c r="U41" s="11" t="s">
        <v>247</v>
      </c>
    </row>
    <row r="43" spans="1:20" ht="15">
      <c r="A43" s="116" t="s">
        <v>40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</row>
    <row r="44" spans="1:21" ht="12.75">
      <c r="A44" s="7" t="s">
        <v>248</v>
      </c>
      <c r="B44" s="7" t="s">
        <v>249</v>
      </c>
      <c r="C44" s="7" t="s">
        <v>250</v>
      </c>
      <c r="D44" s="23" t="str">
        <f>"0,9604"</f>
        <v>0,9604</v>
      </c>
      <c r="E44" s="7" t="s">
        <v>1485</v>
      </c>
      <c r="F44" s="25" t="s">
        <v>1496</v>
      </c>
      <c r="G44" s="7" t="s">
        <v>20</v>
      </c>
      <c r="H44" s="7" t="s">
        <v>18</v>
      </c>
      <c r="I44" s="7" t="s">
        <v>24</v>
      </c>
      <c r="J44" s="8"/>
      <c r="K44" s="7" t="s">
        <v>209</v>
      </c>
      <c r="L44" s="8" t="s">
        <v>210</v>
      </c>
      <c r="M44" s="8" t="s">
        <v>210</v>
      </c>
      <c r="N44" s="8"/>
      <c r="O44" s="7" t="s">
        <v>18</v>
      </c>
      <c r="P44" s="7" t="s">
        <v>24</v>
      </c>
      <c r="Q44" s="7" t="s">
        <v>30</v>
      </c>
      <c r="R44" s="8"/>
      <c r="S44" s="7">
        <v>305</v>
      </c>
      <c r="T44" s="7" t="str">
        <f>"292,9220"</f>
        <v>292,9220</v>
      </c>
      <c r="U44" s="7" t="s">
        <v>220</v>
      </c>
    </row>
    <row r="45" spans="1:21" ht="12.75">
      <c r="A45" s="11" t="s">
        <v>251</v>
      </c>
      <c r="B45" s="11" t="s">
        <v>252</v>
      </c>
      <c r="C45" s="11" t="s">
        <v>253</v>
      </c>
      <c r="D45" s="24" t="str">
        <f>"0,9538"</f>
        <v>0,9538</v>
      </c>
      <c r="E45" s="11" t="s">
        <v>16</v>
      </c>
      <c r="F45" s="26" t="s">
        <v>1492</v>
      </c>
      <c r="G45" s="11" t="s">
        <v>30</v>
      </c>
      <c r="H45" s="12" t="s">
        <v>254</v>
      </c>
      <c r="I45" s="11" t="s">
        <v>254</v>
      </c>
      <c r="J45" s="12"/>
      <c r="K45" s="12" t="s">
        <v>210</v>
      </c>
      <c r="L45" s="12" t="s">
        <v>211</v>
      </c>
      <c r="M45" s="12" t="s">
        <v>211</v>
      </c>
      <c r="N45" s="12"/>
      <c r="O45" s="12" t="s">
        <v>30</v>
      </c>
      <c r="P45" s="12"/>
      <c r="Q45" s="12"/>
      <c r="R45" s="12"/>
      <c r="S45" s="11">
        <v>0</v>
      </c>
      <c r="T45" s="11" t="str">
        <f>"0,0000"</f>
        <v>0,0000</v>
      </c>
      <c r="U45" s="11" t="s">
        <v>255</v>
      </c>
    </row>
    <row r="47" spans="1:20" ht="15">
      <c r="A47" s="116" t="s">
        <v>21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</row>
    <row r="48" spans="1:21" ht="12.75">
      <c r="A48" s="7" t="s">
        <v>256</v>
      </c>
      <c r="B48" s="7" t="s">
        <v>257</v>
      </c>
      <c r="C48" s="7" t="s">
        <v>188</v>
      </c>
      <c r="D48" s="7" t="str">
        <f>"0,9233"</f>
        <v>0,9233</v>
      </c>
      <c r="E48" s="7" t="s">
        <v>16</v>
      </c>
      <c r="F48" s="7" t="s">
        <v>258</v>
      </c>
      <c r="G48" s="7" t="s">
        <v>130</v>
      </c>
      <c r="H48" s="7" t="s">
        <v>35</v>
      </c>
      <c r="I48" s="7" t="s">
        <v>36</v>
      </c>
      <c r="J48" s="8"/>
      <c r="K48" s="7" t="s">
        <v>37</v>
      </c>
      <c r="L48" s="7" t="s">
        <v>168</v>
      </c>
      <c r="M48" s="7" t="s">
        <v>31</v>
      </c>
      <c r="N48" s="8"/>
      <c r="O48" s="7" t="s">
        <v>42</v>
      </c>
      <c r="P48" s="7" t="s">
        <v>99</v>
      </c>
      <c r="Q48" s="8" t="s">
        <v>43</v>
      </c>
      <c r="R48" s="8"/>
      <c r="S48" s="7">
        <v>410</v>
      </c>
      <c r="T48" s="7" t="str">
        <f>"378,5530"</f>
        <v>378,5530</v>
      </c>
      <c r="U48" s="7" t="s">
        <v>259</v>
      </c>
    </row>
    <row r="49" spans="1:21" ht="12.75">
      <c r="A49" s="9" t="s">
        <v>260</v>
      </c>
      <c r="B49" s="9" t="s">
        <v>261</v>
      </c>
      <c r="C49" s="9" t="s">
        <v>22</v>
      </c>
      <c r="D49" s="9" t="str">
        <f>"0,9103"</f>
        <v>0,9103</v>
      </c>
      <c r="E49" s="9" t="s">
        <v>16</v>
      </c>
      <c r="F49" s="9" t="s">
        <v>262</v>
      </c>
      <c r="G49" s="10" t="s">
        <v>33</v>
      </c>
      <c r="H49" s="10"/>
      <c r="I49" s="10"/>
      <c r="J49" s="10"/>
      <c r="K49" s="9" t="s">
        <v>17</v>
      </c>
      <c r="L49" s="9" t="s">
        <v>20</v>
      </c>
      <c r="M49" s="10" t="s">
        <v>24</v>
      </c>
      <c r="N49" s="10"/>
      <c r="O49" s="9" t="s">
        <v>99</v>
      </c>
      <c r="P49" s="10" t="s">
        <v>121</v>
      </c>
      <c r="Q49" s="10" t="s">
        <v>48</v>
      </c>
      <c r="R49" s="10"/>
      <c r="S49" s="9">
        <v>0</v>
      </c>
      <c r="T49" s="9" t="str">
        <f>"0,0000"</f>
        <v>0,0000</v>
      </c>
      <c r="U49" s="9" t="s">
        <v>263</v>
      </c>
    </row>
    <row r="50" spans="1:21" ht="12.75">
      <c r="A50" s="9" t="s">
        <v>260</v>
      </c>
      <c r="B50" s="9" t="s">
        <v>264</v>
      </c>
      <c r="C50" s="9" t="s">
        <v>22</v>
      </c>
      <c r="D50" s="9" t="str">
        <f>"0,9103"</f>
        <v>0,9103</v>
      </c>
      <c r="E50" s="9" t="s">
        <v>16</v>
      </c>
      <c r="F50" s="9" t="s">
        <v>262</v>
      </c>
      <c r="G50" s="10" t="s">
        <v>33</v>
      </c>
      <c r="H50" s="10"/>
      <c r="I50" s="10"/>
      <c r="J50" s="10"/>
      <c r="K50" s="9" t="s">
        <v>17</v>
      </c>
      <c r="L50" s="9" t="s">
        <v>20</v>
      </c>
      <c r="M50" s="10" t="s">
        <v>24</v>
      </c>
      <c r="N50" s="10"/>
      <c r="O50" s="9" t="s">
        <v>99</v>
      </c>
      <c r="P50" s="10" t="s">
        <v>121</v>
      </c>
      <c r="Q50" s="10" t="s">
        <v>48</v>
      </c>
      <c r="R50" s="10"/>
      <c r="S50" s="9">
        <v>0</v>
      </c>
      <c r="T50" s="9" t="str">
        <f>"0,0000"</f>
        <v>0,0000</v>
      </c>
      <c r="U50" s="9" t="s">
        <v>263</v>
      </c>
    </row>
    <row r="51" spans="1:21" ht="12.75">
      <c r="A51" s="11" t="s">
        <v>265</v>
      </c>
      <c r="B51" s="11" t="s">
        <v>266</v>
      </c>
      <c r="C51" s="11" t="s">
        <v>267</v>
      </c>
      <c r="D51" s="11" t="str">
        <f>"1,0016"</f>
        <v>1,0016</v>
      </c>
      <c r="E51" s="11" t="s">
        <v>16</v>
      </c>
      <c r="F51" s="11" t="s">
        <v>118</v>
      </c>
      <c r="G51" s="11" t="s">
        <v>50</v>
      </c>
      <c r="H51" s="11" t="s">
        <v>17</v>
      </c>
      <c r="I51" s="11" t="s">
        <v>268</v>
      </c>
      <c r="J51" s="11" t="s">
        <v>20</v>
      </c>
      <c r="K51" s="11" t="s">
        <v>26</v>
      </c>
      <c r="L51" s="11" t="s">
        <v>37</v>
      </c>
      <c r="M51" s="11" t="s">
        <v>168</v>
      </c>
      <c r="N51" s="12"/>
      <c r="O51" s="11" t="s">
        <v>24</v>
      </c>
      <c r="P51" s="11" t="s">
        <v>216</v>
      </c>
      <c r="Q51" s="11" t="s">
        <v>254</v>
      </c>
      <c r="R51" s="12"/>
      <c r="S51" s="11">
        <v>317.5</v>
      </c>
      <c r="T51" s="11" t="str">
        <f>"438,8511"</f>
        <v>438,8511</v>
      </c>
      <c r="U51" s="11" t="s">
        <v>269</v>
      </c>
    </row>
    <row r="53" spans="1:20" ht="15">
      <c r="A53" s="116" t="s">
        <v>28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</row>
    <row r="54" spans="1:21" ht="12.75">
      <c r="A54" s="7" t="s">
        <v>270</v>
      </c>
      <c r="B54" s="7" t="s">
        <v>271</v>
      </c>
      <c r="C54" s="7" t="s">
        <v>272</v>
      </c>
      <c r="D54" s="7" t="str">
        <f>"0,8759"</f>
        <v>0,8759</v>
      </c>
      <c r="E54" s="7" t="s">
        <v>16</v>
      </c>
      <c r="F54" s="7" t="s">
        <v>118</v>
      </c>
      <c r="G54" s="7" t="s">
        <v>58</v>
      </c>
      <c r="H54" s="8" t="s">
        <v>38</v>
      </c>
      <c r="I54" s="8" t="s">
        <v>38</v>
      </c>
      <c r="J54" s="8"/>
      <c r="K54" s="8" t="s">
        <v>31</v>
      </c>
      <c r="L54" s="8" t="s">
        <v>31</v>
      </c>
      <c r="M54" s="7" t="s">
        <v>31</v>
      </c>
      <c r="N54" s="8"/>
      <c r="O54" s="7" t="s">
        <v>109</v>
      </c>
      <c r="P54" s="8" t="s">
        <v>99</v>
      </c>
      <c r="Q54" s="7" t="s">
        <v>99</v>
      </c>
      <c r="R54" s="8"/>
      <c r="S54" s="7">
        <v>390</v>
      </c>
      <c r="T54" s="7" t="str">
        <f>"341,6010"</f>
        <v>341,6010</v>
      </c>
      <c r="U54" s="7" t="s">
        <v>475</v>
      </c>
    </row>
    <row r="55" spans="1:21" ht="12.75">
      <c r="A55" s="11" t="s">
        <v>273</v>
      </c>
      <c r="B55" s="11" t="s">
        <v>274</v>
      </c>
      <c r="C55" s="11" t="s">
        <v>29</v>
      </c>
      <c r="D55" s="11" t="str">
        <f>"0,8529"</f>
        <v>0,8529</v>
      </c>
      <c r="E55" s="11" t="s">
        <v>16</v>
      </c>
      <c r="F55" s="11" t="s">
        <v>1502</v>
      </c>
      <c r="G55" s="12" t="s">
        <v>35</v>
      </c>
      <c r="H55" s="12"/>
      <c r="I55" s="12"/>
      <c r="J55" s="12"/>
      <c r="K55" s="12" t="s">
        <v>37</v>
      </c>
      <c r="L55" s="12"/>
      <c r="M55" s="12"/>
      <c r="N55" s="12"/>
      <c r="O55" s="12" t="s">
        <v>35</v>
      </c>
      <c r="P55" s="12"/>
      <c r="Q55" s="12"/>
      <c r="R55" s="12"/>
      <c r="S55" s="11">
        <v>0</v>
      </c>
      <c r="T55" s="11" t="str">
        <f>"0,0000"</f>
        <v>0,0000</v>
      </c>
      <c r="U55" s="11" t="s">
        <v>27</v>
      </c>
    </row>
    <row r="57" spans="1:20" ht="15">
      <c r="A57" s="116" t="s">
        <v>32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</row>
    <row r="58" spans="1:21" ht="12.75">
      <c r="A58" s="7" t="s">
        <v>275</v>
      </c>
      <c r="B58" s="7" t="s">
        <v>276</v>
      </c>
      <c r="C58" s="7" t="s">
        <v>277</v>
      </c>
      <c r="D58" s="7" t="str">
        <f>"0,7852"</f>
        <v>0,7852</v>
      </c>
      <c r="E58" s="7" t="s">
        <v>16</v>
      </c>
      <c r="F58" s="7" t="s">
        <v>278</v>
      </c>
      <c r="G58" s="7" t="s">
        <v>59</v>
      </c>
      <c r="H58" s="8" t="s">
        <v>42</v>
      </c>
      <c r="I58" s="7" t="s">
        <v>99</v>
      </c>
      <c r="J58" s="8"/>
      <c r="K58" s="7" t="s">
        <v>17</v>
      </c>
      <c r="L58" s="7" t="s">
        <v>20</v>
      </c>
      <c r="M58" s="8" t="s">
        <v>24</v>
      </c>
      <c r="N58" s="8"/>
      <c r="O58" s="7" t="s">
        <v>44</v>
      </c>
      <c r="P58" s="7" t="s">
        <v>88</v>
      </c>
      <c r="Q58" s="8" t="s">
        <v>57</v>
      </c>
      <c r="R58" s="8"/>
      <c r="S58" s="7">
        <v>500</v>
      </c>
      <c r="T58" s="7" t="str">
        <f>"392,6000"</f>
        <v>392,6000</v>
      </c>
      <c r="U58" s="7" t="s">
        <v>1513</v>
      </c>
    </row>
    <row r="59" spans="1:21" ht="12.75">
      <c r="A59" s="9" t="s">
        <v>279</v>
      </c>
      <c r="B59" s="9" t="s">
        <v>280</v>
      </c>
      <c r="C59" s="9" t="s">
        <v>281</v>
      </c>
      <c r="D59" s="9" t="str">
        <f>"0,7942"</f>
        <v>0,7942</v>
      </c>
      <c r="E59" s="9" t="s">
        <v>16</v>
      </c>
      <c r="F59" s="9" t="s">
        <v>282</v>
      </c>
      <c r="G59" s="9" t="s">
        <v>283</v>
      </c>
      <c r="H59" s="10" t="s">
        <v>284</v>
      </c>
      <c r="I59" s="10" t="s">
        <v>284</v>
      </c>
      <c r="J59" s="10"/>
      <c r="K59" s="9" t="s">
        <v>180</v>
      </c>
      <c r="L59" s="10" t="s">
        <v>285</v>
      </c>
      <c r="M59" s="10"/>
      <c r="N59" s="10"/>
      <c r="O59" s="9" t="s">
        <v>99</v>
      </c>
      <c r="P59" s="10" t="s">
        <v>121</v>
      </c>
      <c r="Q59" s="10" t="s">
        <v>121</v>
      </c>
      <c r="R59" s="10"/>
      <c r="S59" s="9">
        <v>465</v>
      </c>
      <c r="T59" s="9" t="str">
        <f>"369,3030"</f>
        <v>369,3030</v>
      </c>
      <c r="U59" s="9" t="s">
        <v>27</v>
      </c>
    </row>
    <row r="60" spans="1:21" ht="12.75">
      <c r="A60" s="9" t="s">
        <v>286</v>
      </c>
      <c r="B60" s="9" t="s">
        <v>287</v>
      </c>
      <c r="C60" s="9" t="s">
        <v>288</v>
      </c>
      <c r="D60" s="9" t="str">
        <f>"0,8178"</f>
        <v>0,8178</v>
      </c>
      <c r="E60" s="9" t="s">
        <v>16</v>
      </c>
      <c r="F60" s="9" t="s">
        <v>1492</v>
      </c>
      <c r="G60" s="9" t="s">
        <v>59</v>
      </c>
      <c r="H60" s="10" t="s">
        <v>42</v>
      </c>
      <c r="I60" s="10" t="s">
        <v>42</v>
      </c>
      <c r="J60" s="10"/>
      <c r="K60" s="9" t="s">
        <v>17</v>
      </c>
      <c r="L60" s="9" t="s">
        <v>110</v>
      </c>
      <c r="M60" s="9" t="s">
        <v>20</v>
      </c>
      <c r="N60" s="10"/>
      <c r="O60" s="9" t="s">
        <v>42</v>
      </c>
      <c r="P60" s="9" t="s">
        <v>99</v>
      </c>
      <c r="Q60" s="10" t="s">
        <v>43</v>
      </c>
      <c r="R60" s="10"/>
      <c r="S60" s="9">
        <v>445</v>
      </c>
      <c r="T60" s="9" t="str">
        <f>"363,9210"</f>
        <v>363,9210</v>
      </c>
      <c r="U60" s="9" t="s">
        <v>27</v>
      </c>
    </row>
    <row r="61" spans="1:21" ht="12.75">
      <c r="A61" s="9" t="s">
        <v>289</v>
      </c>
      <c r="B61" s="9" t="s">
        <v>290</v>
      </c>
      <c r="C61" s="9" t="s">
        <v>291</v>
      </c>
      <c r="D61" s="9" t="str">
        <f>"0,8317"</f>
        <v>0,8317</v>
      </c>
      <c r="E61" s="9" t="s">
        <v>23</v>
      </c>
      <c r="F61" s="9" t="s">
        <v>1496</v>
      </c>
      <c r="G61" s="9" t="s">
        <v>43</v>
      </c>
      <c r="H61" s="9" t="s">
        <v>44</v>
      </c>
      <c r="I61" s="10" t="s">
        <v>56</v>
      </c>
      <c r="J61" s="10"/>
      <c r="K61" s="9" t="s">
        <v>254</v>
      </c>
      <c r="L61" s="9" t="s">
        <v>33</v>
      </c>
      <c r="M61" s="9" t="s">
        <v>189</v>
      </c>
      <c r="N61" s="10"/>
      <c r="O61" s="9" t="s">
        <v>56</v>
      </c>
      <c r="P61" s="9" t="s">
        <v>292</v>
      </c>
      <c r="Q61" s="10"/>
      <c r="R61" s="10"/>
      <c r="S61" s="9">
        <v>580</v>
      </c>
      <c r="T61" s="9" t="str">
        <f>"482,3860"</f>
        <v>482,3860</v>
      </c>
      <c r="U61" s="9" t="s">
        <v>293</v>
      </c>
    </row>
    <row r="62" spans="1:21" ht="12.75">
      <c r="A62" s="9" t="s">
        <v>294</v>
      </c>
      <c r="B62" s="9" t="s">
        <v>295</v>
      </c>
      <c r="C62" s="9" t="s">
        <v>296</v>
      </c>
      <c r="D62" s="9" t="str">
        <f>"0,7794"</f>
        <v>0,7794</v>
      </c>
      <c r="E62" s="9" t="s">
        <v>1486</v>
      </c>
      <c r="F62" s="9" t="s">
        <v>297</v>
      </c>
      <c r="G62" s="9" t="s">
        <v>42</v>
      </c>
      <c r="H62" s="9" t="s">
        <v>43</v>
      </c>
      <c r="I62" s="9" t="s">
        <v>283</v>
      </c>
      <c r="J62" s="10"/>
      <c r="K62" s="9" t="s">
        <v>58</v>
      </c>
      <c r="L62" s="9" t="s">
        <v>33</v>
      </c>
      <c r="M62" s="9" t="s">
        <v>38</v>
      </c>
      <c r="N62" s="10"/>
      <c r="O62" s="9" t="s">
        <v>43</v>
      </c>
      <c r="P62" s="9" t="s">
        <v>283</v>
      </c>
      <c r="Q62" s="10" t="s">
        <v>49</v>
      </c>
      <c r="R62" s="10"/>
      <c r="S62" s="9">
        <v>535</v>
      </c>
      <c r="T62" s="9" t="str">
        <f>"416,9790"</f>
        <v>416,9790</v>
      </c>
      <c r="U62" s="9" t="s">
        <v>27</v>
      </c>
    </row>
    <row r="63" spans="1:21" ht="12.75">
      <c r="A63" s="9" t="s">
        <v>275</v>
      </c>
      <c r="B63" s="9" t="s">
        <v>298</v>
      </c>
      <c r="C63" s="9" t="s">
        <v>277</v>
      </c>
      <c r="D63" s="9" t="str">
        <f>"0,7852"</f>
        <v>0,7852</v>
      </c>
      <c r="E63" s="9" t="s">
        <v>16</v>
      </c>
      <c r="F63" s="9" t="s">
        <v>278</v>
      </c>
      <c r="G63" s="9" t="s">
        <v>59</v>
      </c>
      <c r="H63" s="10" t="s">
        <v>42</v>
      </c>
      <c r="I63" s="9" t="s">
        <v>99</v>
      </c>
      <c r="J63" s="10"/>
      <c r="K63" s="9" t="s">
        <v>17</v>
      </c>
      <c r="L63" s="9" t="s">
        <v>20</v>
      </c>
      <c r="M63" s="10" t="s">
        <v>24</v>
      </c>
      <c r="N63" s="10"/>
      <c r="O63" s="9" t="s">
        <v>44</v>
      </c>
      <c r="P63" s="9" t="s">
        <v>88</v>
      </c>
      <c r="Q63" s="10" t="s">
        <v>57</v>
      </c>
      <c r="R63" s="10"/>
      <c r="S63" s="9">
        <v>500</v>
      </c>
      <c r="T63" s="9" t="str">
        <f>"392,6000"</f>
        <v>392,6000</v>
      </c>
      <c r="U63" s="9" t="s">
        <v>1513</v>
      </c>
    </row>
    <row r="64" spans="1:21" ht="12.75">
      <c r="A64" s="9" t="s">
        <v>299</v>
      </c>
      <c r="B64" s="9" t="s">
        <v>300</v>
      </c>
      <c r="C64" s="9" t="s">
        <v>34</v>
      </c>
      <c r="D64" s="9" t="str">
        <f>"0,7775"</f>
        <v>0,7775</v>
      </c>
      <c r="E64" s="9" t="s">
        <v>16</v>
      </c>
      <c r="F64" s="9" t="s">
        <v>1492</v>
      </c>
      <c r="G64" s="9" t="s">
        <v>123</v>
      </c>
      <c r="H64" s="9" t="s">
        <v>99</v>
      </c>
      <c r="I64" s="9" t="s">
        <v>43</v>
      </c>
      <c r="J64" s="10"/>
      <c r="K64" s="10" t="s">
        <v>30</v>
      </c>
      <c r="L64" s="9" t="s">
        <v>30</v>
      </c>
      <c r="M64" s="10" t="s">
        <v>216</v>
      </c>
      <c r="N64" s="10"/>
      <c r="O64" s="9" t="s">
        <v>301</v>
      </c>
      <c r="P64" s="10" t="s">
        <v>43</v>
      </c>
      <c r="Q64" s="10" t="s">
        <v>43</v>
      </c>
      <c r="R64" s="10"/>
      <c r="S64" s="9">
        <v>477.5</v>
      </c>
      <c r="T64" s="9" t="str">
        <f>"371,2562"</f>
        <v>371,2562</v>
      </c>
      <c r="U64" s="9" t="s">
        <v>27</v>
      </c>
    </row>
    <row r="65" spans="1:21" ht="12.75">
      <c r="A65" s="11" t="s">
        <v>302</v>
      </c>
      <c r="B65" s="11" t="s">
        <v>303</v>
      </c>
      <c r="C65" s="11" t="s">
        <v>53</v>
      </c>
      <c r="D65" s="11" t="str">
        <f>"0,7804"</f>
        <v>0,7804</v>
      </c>
      <c r="E65" s="11" t="s">
        <v>16</v>
      </c>
      <c r="F65" s="11" t="s">
        <v>71</v>
      </c>
      <c r="G65" s="12" t="s">
        <v>99</v>
      </c>
      <c r="H65" s="12" t="s">
        <v>99</v>
      </c>
      <c r="I65" s="11" t="s">
        <v>99</v>
      </c>
      <c r="J65" s="12"/>
      <c r="K65" s="11" t="s">
        <v>110</v>
      </c>
      <c r="L65" s="11" t="s">
        <v>20</v>
      </c>
      <c r="M65" s="11" t="s">
        <v>18</v>
      </c>
      <c r="N65" s="12"/>
      <c r="O65" s="11" t="s">
        <v>36</v>
      </c>
      <c r="P65" s="11" t="s">
        <v>42</v>
      </c>
      <c r="Q65" s="11" t="s">
        <v>43</v>
      </c>
      <c r="R65" s="12"/>
      <c r="S65" s="11">
        <v>470</v>
      </c>
      <c r="T65" s="11" t="str">
        <f>"366,7880"</f>
        <v>366,7880</v>
      </c>
      <c r="U65" s="11" t="s">
        <v>117</v>
      </c>
    </row>
    <row r="67" spans="1:20" ht="15">
      <c r="A67" s="116" t="s">
        <v>40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</row>
    <row r="68" spans="1:21" ht="12.75">
      <c r="A68" s="7" t="s">
        <v>304</v>
      </c>
      <c r="B68" s="7" t="s">
        <v>305</v>
      </c>
      <c r="C68" s="7" t="s">
        <v>306</v>
      </c>
      <c r="D68" s="7" t="str">
        <f>"0,7159"</f>
        <v>0,7159</v>
      </c>
      <c r="E68" s="7" t="s">
        <v>16</v>
      </c>
      <c r="F68" s="7" t="s">
        <v>1492</v>
      </c>
      <c r="G68" s="8" t="s">
        <v>284</v>
      </c>
      <c r="H68" s="7" t="s">
        <v>284</v>
      </c>
      <c r="I68" s="7" t="s">
        <v>307</v>
      </c>
      <c r="J68" s="8"/>
      <c r="K68" s="7" t="s">
        <v>254</v>
      </c>
      <c r="L68" s="7" t="s">
        <v>308</v>
      </c>
      <c r="M68" s="8" t="s">
        <v>130</v>
      </c>
      <c r="N68" s="8"/>
      <c r="O68" s="8" t="s">
        <v>309</v>
      </c>
      <c r="P68" s="7" t="s">
        <v>309</v>
      </c>
      <c r="Q68" s="7" t="s">
        <v>307</v>
      </c>
      <c r="R68" s="8"/>
      <c r="S68" s="7">
        <v>562.5</v>
      </c>
      <c r="T68" s="7" t="str">
        <f>"402,6938"</f>
        <v>402,6938</v>
      </c>
      <c r="U68" s="7" t="s">
        <v>27</v>
      </c>
    </row>
    <row r="69" spans="1:21" ht="12.75">
      <c r="A69" s="9" t="s">
        <v>310</v>
      </c>
      <c r="B69" s="9" t="s">
        <v>311</v>
      </c>
      <c r="C69" s="9" t="s">
        <v>312</v>
      </c>
      <c r="D69" s="9" t="str">
        <f>"0,7139"</f>
        <v>0,7139</v>
      </c>
      <c r="E69" s="9" t="s">
        <v>16</v>
      </c>
      <c r="F69" s="9" t="s">
        <v>1503</v>
      </c>
      <c r="G69" s="9" t="s">
        <v>99</v>
      </c>
      <c r="H69" s="9" t="s">
        <v>121</v>
      </c>
      <c r="I69" s="9" t="s">
        <v>44</v>
      </c>
      <c r="J69" s="10"/>
      <c r="K69" s="9" t="s">
        <v>110</v>
      </c>
      <c r="L69" s="10" t="s">
        <v>20</v>
      </c>
      <c r="M69" s="9" t="s">
        <v>20</v>
      </c>
      <c r="N69" s="10"/>
      <c r="O69" s="9" t="s">
        <v>307</v>
      </c>
      <c r="P69" s="9" t="s">
        <v>113</v>
      </c>
      <c r="Q69" s="10" t="s">
        <v>313</v>
      </c>
      <c r="R69" s="10"/>
      <c r="S69" s="9">
        <v>535</v>
      </c>
      <c r="T69" s="9" t="str">
        <f>"381,9365"</f>
        <v>381,9365</v>
      </c>
      <c r="U69" s="9" t="s">
        <v>27</v>
      </c>
    </row>
    <row r="70" spans="1:21" ht="12.75">
      <c r="A70" s="9" t="s">
        <v>314</v>
      </c>
      <c r="B70" s="9" t="s">
        <v>315</v>
      </c>
      <c r="C70" s="9" t="s">
        <v>250</v>
      </c>
      <c r="D70" s="9" t="str">
        <f>"0,7207"</f>
        <v>0,7207</v>
      </c>
      <c r="E70" s="9" t="s">
        <v>16</v>
      </c>
      <c r="F70" s="9" t="s">
        <v>316</v>
      </c>
      <c r="G70" s="9" t="s">
        <v>43</v>
      </c>
      <c r="H70" s="10" t="s">
        <v>44</v>
      </c>
      <c r="I70" s="9" t="s">
        <v>44</v>
      </c>
      <c r="J70" s="10"/>
      <c r="K70" s="9" t="s">
        <v>20</v>
      </c>
      <c r="L70" s="9" t="s">
        <v>24</v>
      </c>
      <c r="M70" s="10" t="s">
        <v>225</v>
      </c>
      <c r="N70" s="10"/>
      <c r="O70" s="9" t="s">
        <v>48</v>
      </c>
      <c r="P70" s="10" t="s">
        <v>317</v>
      </c>
      <c r="Q70" s="9" t="s">
        <v>317</v>
      </c>
      <c r="R70" s="10"/>
      <c r="S70" s="9">
        <v>527.5</v>
      </c>
      <c r="T70" s="9" t="str">
        <f>"380,1693"</f>
        <v>380,1693</v>
      </c>
      <c r="U70" s="9" t="s">
        <v>27</v>
      </c>
    </row>
    <row r="71" spans="1:21" ht="12.75">
      <c r="A71" s="9" t="s">
        <v>318</v>
      </c>
      <c r="B71" s="9" t="s">
        <v>319</v>
      </c>
      <c r="C71" s="9" t="s">
        <v>320</v>
      </c>
      <c r="D71" s="9" t="str">
        <f>"0,7126"</f>
        <v>0,7126</v>
      </c>
      <c r="E71" s="9" t="s">
        <v>16</v>
      </c>
      <c r="F71" s="9" t="s">
        <v>321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9">
        <v>0</v>
      </c>
      <c r="T71" s="9" t="str">
        <f>"0,0000"</f>
        <v>0,0000</v>
      </c>
      <c r="U71" s="9" t="s">
        <v>27</v>
      </c>
    </row>
    <row r="72" spans="1:21" ht="12.75">
      <c r="A72" s="9" t="s">
        <v>322</v>
      </c>
      <c r="B72" s="9" t="s">
        <v>323</v>
      </c>
      <c r="C72" s="9" t="s">
        <v>324</v>
      </c>
      <c r="D72" s="9" t="str">
        <f>"0,7307"</f>
        <v>0,7307</v>
      </c>
      <c r="E72" s="9" t="s">
        <v>16</v>
      </c>
      <c r="F72" s="9" t="s">
        <v>325</v>
      </c>
      <c r="G72" s="9" t="s">
        <v>59</v>
      </c>
      <c r="H72" s="9" t="s">
        <v>43</v>
      </c>
      <c r="I72" s="10" t="s">
        <v>48</v>
      </c>
      <c r="J72" s="10"/>
      <c r="K72" s="9" t="s">
        <v>50</v>
      </c>
      <c r="L72" s="9" t="s">
        <v>180</v>
      </c>
      <c r="M72" s="9" t="s">
        <v>17</v>
      </c>
      <c r="N72" s="10"/>
      <c r="O72" s="9" t="s">
        <v>43</v>
      </c>
      <c r="P72" s="9" t="s">
        <v>56</v>
      </c>
      <c r="Q72" s="10" t="s">
        <v>57</v>
      </c>
      <c r="R72" s="10"/>
      <c r="S72" s="9">
        <v>490</v>
      </c>
      <c r="T72" s="9" t="str">
        <f>"483,3581"</f>
        <v>483,3581</v>
      </c>
      <c r="U72" s="9" t="s">
        <v>27</v>
      </c>
    </row>
    <row r="73" spans="1:21" ht="12.75">
      <c r="A73" s="11" t="s">
        <v>326</v>
      </c>
      <c r="B73" s="11" t="s">
        <v>327</v>
      </c>
      <c r="C73" s="11" t="s">
        <v>328</v>
      </c>
      <c r="D73" s="11" t="str">
        <f>"0,7186"</f>
        <v>0,7186</v>
      </c>
      <c r="E73" s="11" t="s">
        <v>16</v>
      </c>
      <c r="F73" s="11" t="s">
        <v>329</v>
      </c>
      <c r="G73" s="11" t="s">
        <v>35</v>
      </c>
      <c r="H73" s="11" t="s">
        <v>36</v>
      </c>
      <c r="I73" s="12" t="s">
        <v>330</v>
      </c>
      <c r="J73" s="12"/>
      <c r="K73" s="11" t="s">
        <v>31</v>
      </c>
      <c r="L73" s="11" t="s">
        <v>144</v>
      </c>
      <c r="M73" s="11" t="s">
        <v>331</v>
      </c>
      <c r="N73" s="12"/>
      <c r="O73" s="11" t="s">
        <v>121</v>
      </c>
      <c r="P73" s="11" t="s">
        <v>283</v>
      </c>
      <c r="Q73" s="12" t="s">
        <v>44</v>
      </c>
      <c r="R73" s="12"/>
      <c r="S73" s="11">
        <v>437.5</v>
      </c>
      <c r="T73" s="11" t="str">
        <f>"481,9560"</f>
        <v>481,9560</v>
      </c>
      <c r="U73" s="11" t="s">
        <v>27</v>
      </c>
    </row>
    <row r="75" spans="1:20" ht="15">
      <c r="A75" s="116" t="s">
        <v>46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</row>
    <row r="76" spans="1:21" ht="12.75">
      <c r="A76" s="7" t="s">
        <v>332</v>
      </c>
      <c r="B76" s="7" t="s">
        <v>333</v>
      </c>
      <c r="C76" s="7" t="s">
        <v>334</v>
      </c>
      <c r="D76" s="7" t="str">
        <f>"0,6849"</f>
        <v>0,6849</v>
      </c>
      <c r="E76" s="7" t="s">
        <v>16</v>
      </c>
      <c r="F76" s="7" t="s">
        <v>335</v>
      </c>
      <c r="G76" s="8" t="s">
        <v>99</v>
      </c>
      <c r="H76" s="8" t="s">
        <v>99</v>
      </c>
      <c r="I76" s="7" t="s">
        <v>99</v>
      </c>
      <c r="J76" s="8"/>
      <c r="K76" s="7" t="s">
        <v>180</v>
      </c>
      <c r="L76" s="7" t="s">
        <v>17</v>
      </c>
      <c r="M76" s="8"/>
      <c r="N76" s="8"/>
      <c r="O76" s="7" t="s">
        <v>48</v>
      </c>
      <c r="P76" s="7" t="s">
        <v>44</v>
      </c>
      <c r="Q76" s="8" t="s">
        <v>49</v>
      </c>
      <c r="R76" s="8"/>
      <c r="S76" s="7">
        <v>475</v>
      </c>
      <c r="T76" s="7" t="str">
        <f>"325,3275"</f>
        <v>325,3275</v>
      </c>
      <c r="U76" s="7" t="s">
        <v>1306</v>
      </c>
    </row>
    <row r="77" spans="1:21" ht="12.75">
      <c r="A77" s="9" t="s">
        <v>336</v>
      </c>
      <c r="B77" s="9" t="s">
        <v>337</v>
      </c>
      <c r="C77" s="9" t="s">
        <v>75</v>
      </c>
      <c r="D77" s="9" t="str">
        <f>"0,6709"</f>
        <v>0,6709</v>
      </c>
      <c r="E77" s="9" t="s">
        <v>16</v>
      </c>
      <c r="F77" s="9" t="s">
        <v>282</v>
      </c>
      <c r="G77" s="9" t="s">
        <v>74</v>
      </c>
      <c r="H77" s="10" t="s">
        <v>79</v>
      </c>
      <c r="I77" s="10" t="s">
        <v>79</v>
      </c>
      <c r="J77" s="10"/>
      <c r="K77" s="9" t="s">
        <v>169</v>
      </c>
      <c r="L77" s="9" t="s">
        <v>225</v>
      </c>
      <c r="M77" s="10" t="s">
        <v>30</v>
      </c>
      <c r="N77" s="10"/>
      <c r="O77" s="9" t="s">
        <v>74</v>
      </c>
      <c r="P77" s="9" t="s">
        <v>65</v>
      </c>
      <c r="Q77" s="9" t="s">
        <v>63</v>
      </c>
      <c r="R77" s="10"/>
      <c r="S77" s="9">
        <v>602.5</v>
      </c>
      <c r="T77" s="9" t="str">
        <f>"404,2172"</f>
        <v>404,2172</v>
      </c>
      <c r="U77" s="9" t="s">
        <v>27</v>
      </c>
    </row>
    <row r="78" spans="1:21" ht="12.75">
      <c r="A78" s="9" t="s">
        <v>338</v>
      </c>
      <c r="B78" s="9" t="s">
        <v>339</v>
      </c>
      <c r="C78" s="9" t="s">
        <v>75</v>
      </c>
      <c r="D78" s="9" t="str">
        <f>"0,6709"</f>
        <v>0,6709</v>
      </c>
      <c r="E78" s="9" t="s">
        <v>340</v>
      </c>
      <c r="F78" s="9" t="s">
        <v>341</v>
      </c>
      <c r="G78" s="9" t="s">
        <v>43</v>
      </c>
      <c r="H78" s="9" t="s">
        <v>283</v>
      </c>
      <c r="I78" s="10" t="s">
        <v>56</v>
      </c>
      <c r="J78" s="10"/>
      <c r="K78" s="9" t="s">
        <v>17</v>
      </c>
      <c r="L78" s="9" t="s">
        <v>20</v>
      </c>
      <c r="M78" s="9" t="s">
        <v>18</v>
      </c>
      <c r="N78" s="10"/>
      <c r="O78" s="9" t="s">
        <v>43</v>
      </c>
      <c r="P78" s="9" t="s">
        <v>342</v>
      </c>
      <c r="Q78" s="10" t="s">
        <v>44</v>
      </c>
      <c r="R78" s="10"/>
      <c r="S78" s="9">
        <v>502.5</v>
      </c>
      <c r="T78" s="9" t="str">
        <f>"337,1272"</f>
        <v>337,1272</v>
      </c>
      <c r="U78" s="9" t="s">
        <v>343</v>
      </c>
    </row>
    <row r="79" spans="1:21" ht="12.75">
      <c r="A79" s="9" t="s">
        <v>344</v>
      </c>
      <c r="B79" s="9" t="s">
        <v>345</v>
      </c>
      <c r="C79" s="9" t="s">
        <v>346</v>
      </c>
      <c r="D79" s="9" t="str">
        <f>"0,6719"</f>
        <v>0,6719</v>
      </c>
      <c r="E79" s="9" t="s">
        <v>16</v>
      </c>
      <c r="F79" s="9" t="s">
        <v>347</v>
      </c>
      <c r="G79" s="9" t="s">
        <v>65</v>
      </c>
      <c r="H79" s="9" t="s">
        <v>63</v>
      </c>
      <c r="I79" s="9" t="s">
        <v>77</v>
      </c>
      <c r="J79" s="10"/>
      <c r="K79" s="9" t="s">
        <v>330</v>
      </c>
      <c r="L79" s="9" t="s">
        <v>109</v>
      </c>
      <c r="M79" s="10" t="s">
        <v>348</v>
      </c>
      <c r="N79" s="10"/>
      <c r="O79" s="9" t="s">
        <v>66</v>
      </c>
      <c r="P79" s="10" t="s">
        <v>77</v>
      </c>
      <c r="Q79" s="10" t="s">
        <v>77</v>
      </c>
      <c r="R79" s="10"/>
      <c r="S79" s="9">
        <v>672.5</v>
      </c>
      <c r="T79" s="9" t="str">
        <f>"451,8527"</f>
        <v>451,8527</v>
      </c>
      <c r="U79" s="9" t="s">
        <v>27</v>
      </c>
    </row>
    <row r="80" spans="1:21" ht="12.75">
      <c r="A80" s="9" t="s">
        <v>349</v>
      </c>
      <c r="B80" s="9" t="s">
        <v>350</v>
      </c>
      <c r="C80" s="9" t="s">
        <v>351</v>
      </c>
      <c r="D80" s="9" t="str">
        <f>"0,6790"</f>
        <v>0,6790</v>
      </c>
      <c r="E80" s="9" t="s">
        <v>1484</v>
      </c>
      <c r="F80" s="9" t="s">
        <v>1504</v>
      </c>
      <c r="G80" s="9" t="s">
        <v>88</v>
      </c>
      <c r="H80" s="9" t="s">
        <v>352</v>
      </c>
      <c r="I80" s="10" t="s">
        <v>68</v>
      </c>
      <c r="J80" s="10"/>
      <c r="K80" s="9" t="s">
        <v>30</v>
      </c>
      <c r="L80" s="9" t="s">
        <v>25</v>
      </c>
      <c r="M80" s="9" t="s">
        <v>254</v>
      </c>
      <c r="N80" s="10"/>
      <c r="O80" s="9" t="s">
        <v>57</v>
      </c>
      <c r="P80" s="9" t="s">
        <v>74</v>
      </c>
      <c r="Q80" s="9" t="s">
        <v>65</v>
      </c>
      <c r="R80" s="10"/>
      <c r="S80" s="9">
        <v>600</v>
      </c>
      <c r="T80" s="9" t="str">
        <f>"407,4000"</f>
        <v>407,4000</v>
      </c>
      <c r="U80" s="9" t="s">
        <v>27</v>
      </c>
    </row>
    <row r="81" spans="1:21" ht="12.75">
      <c r="A81" s="9" t="s">
        <v>353</v>
      </c>
      <c r="B81" s="9" t="s">
        <v>354</v>
      </c>
      <c r="C81" s="9" t="s">
        <v>355</v>
      </c>
      <c r="D81" s="9" t="str">
        <f>"0,6876"</f>
        <v>0,6876</v>
      </c>
      <c r="E81" s="9" t="s">
        <v>16</v>
      </c>
      <c r="F81" s="9" t="s">
        <v>356</v>
      </c>
      <c r="G81" s="9" t="s">
        <v>44</v>
      </c>
      <c r="H81" s="9" t="s">
        <v>56</v>
      </c>
      <c r="I81" s="9" t="s">
        <v>57</v>
      </c>
      <c r="J81" s="10"/>
      <c r="K81" s="9" t="s">
        <v>17</v>
      </c>
      <c r="L81" s="9" t="s">
        <v>110</v>
      </c>
      <c r="M81" s="9" t="s">
        <v>20</v>
      </c>
      <c r="N81" s="10"/>
      <c r="O81" s="9" t="s">
        <v>77</v>
      </c>
      <c r="P81" s="10" t="s">
        <v>83</v>
      </c>
      <c r="Q81" s="10" t="s">
        <v>83</v>
      </c>
      <c r="R81" s="10"/>
      <c r="S81" s="9">
        <v>590</v>
      </c>
      <c r="T81" s="9" t="str">
        <f>"405,6840"</f>
        <v>405,6840</v>
      </c>
      <c r="U81" s="9" t="s">
        <v>27</v>
      </c>
    </row>
    <row r="82" spans="1:21" ht="12.75">
      <c r="A82" s="9" t="s">
        <v>357</v>
      </c>
      <c r="B82" s="9" t="s">
        <v>358</v>
      </c>
      <c r="C82" s="9" t="s">
        <v>70</v>
      </c>
      <c r="D82" s="9" t="str">
        <f>"0,6739"</f>
        <v>0,6739</v>
      </c>
      <c r="E82" s="9" t="s">
        <v>16</v>
      </c>
      <c r="F82" s="9" t="s">
        <v>1492</v>
      </c>
      <c r="G82" s="10" t="s">
        <v>44</v>
      </c>
      <c r="H82" s="9" t="s">
        <v>44</v>
      </c>
      <c r="I82" s="10" t="s">
        <v>49</v>
      </c>
      <c r="J82" s="10"/>
      <c r="K82" s="10" t="s">
        <v>18</v>
      </c>
      <c r="L82" s="10" t="s">
        <v>18</v>
      </c>
      <c r="M82" s="10" t="s">
        <v>24</v>
      </c>
      <c r="N82" s="10"/>
      <c r="O82" s="10" t="s">
        <v>88</v>
      </c>
      <c r="P82" s="10"/>
      <c r="Q82" s="10"/>
      <c r="R82" s="10"/>
      <c r="S82" s="9">
        <v>0</v>
      </c>
      <c r="T82" s="9" t="str">
        <f>"0,0000"</f>
        <v>0,0000</v>
      </c>
      <c r="U82" s="9" t="s">
        <v>27</v>
      </c>
    </row>
    <row r="83" spans="1:21" ht="12.75">
      <c r="A83" s="9" t="s">
        <v>84</v>
      </c>
      <c r="B83" s="9" t="s">
        <v>85</v>
      </c>
      <c r="C83" s="9" t="s">
        <v>86</v>
      </c>
      <c r="D83" s="9" t="str">
        <f>"0,6734"</f>
        <v>0,6734</v>
      </c>
      <c r="E83" s="9" t="s">
        <v>16</v>
      </c>
      <c r="F83" s="9" t="s">
        <v>87</v>
      </c>
      <c r="G83" s="10" t="s">
        <v>77</v>
      </c>
      <c r="H83" s="10"/>
      <c r="I83" s="10"/>
      <c r="J83" s="10"/>
      <c r="K83" s="10" t="s">
        <v>43</v>
      </c>
      <c r="L83" s="10"/>
      <c r="M83" s="10"/>
      <c r="N83" s="10"/>
      <c r="O83" s="10" t="s">
        <v>83</v>
      </c>
      <c r="P83" s="10"/>
      <c r="Q83" s="10"/>
      <c r="R83" s="10"/>
      <c r="S83" s="9">
        <v>0</v>
      </c>
      <c r="T83" s="9" t="str">
        <f>"0,0000"</f>
        <v>0,0000</v>
      </c>
      <c r="U83" s="9" t="s">
        <v>27</v>
      </c>
    </row>
    <row r="84" spans="1:21" ht="12.75">
      <c r="A84" s="9" t="s">
        <v>92</v>
      </c>
      <c r="B84" s="9" t="s">
        <v>93</v>
      </c>
      <c r="C84" s="9" t="s">
        <v>89</v>
      </c>
      <c r="D84" s="9" t="str">
        <f>"0,6724"</f>
        <v>0,6724</v>
      </c>
      <c r="E84" s="9" t="s">
        <v>16</v>
      </c>
      <c r="F84" s="9" t="s">
        <v>1492</v>
      </c>
      <c r="G84" s="10" t="s">
        <v>48</v>
      </c>
      <c r="H84" s="10"/>
      <c r="I84" s="10"/>
      <c r="J84" s="10"/>
      <c r="K84" s="10" t="s">
        <v>35</v>
      </c>
      <c r="L84" s="10"/>
      <c r="M84" s="10"/>
      <c r="N84" s="10"/>
      <c r="O84" s="10" t="s">
        <v>48</v>
      </c>
      <c r="P84" s="10"/>
      <c r="Q84" s="10"/>
      <c r="R84" s="10"/>
      <c r="S84" s="9">
        <v>0</v>
      </c>
      <c r="T84" s="9" t="str">
        <f>"0,0000"</f>
        <v>0,0000</v>
      </c>
      <c r="U84" s="9" t="s">
        <v>27</v>
      </c>
    </row>
    <row r="85" spans="1:21" ht="12.75">
      <c r="A85" s="11" t="s">
        <v>359</v>
      </c>
      <c r="B85" s="11" t="s">
        <v>360</v>
      </c>
      <c r="C85" s="11" t="s">
        <v>60</v>
      </c>
      <c r="D85" s="11" t="str">
        <f>"0,6699"</f>
        <v>0,6699</v>
      </c>
      <c r="E85" s="11" t="s">
        <v>16</v>
      </c>
      <c r="F85" s="11" t="s">
        <v>1492</v>
      </c>
      <c r="G85" s="12" t="s">
        <v>59</v>
      </c>
      <c r="H85" s="11" t="s">
        <v>59</v>
      </c>
      <c r="I85" s="12" t="s">
        <v>43</v>
      </c>
      <c r="J85" s="12"/>
      <c r="K85" s="11" t="s">
        <v>24</v>
      </c>
      <c r="L85" s="12" t="s">
        <v>216</v>
      </c>
      <c r="M85" s="12" t="s">
        <v>216</v>
      </c>
      <c r="N85" s="12"/>
      <c r="O85" s="11" t="s">
        <v>35</v>
      </c>
      <c r="P85" s="11" t="s">
        <v>99</v>
      </c>
      <c r="Q85" s="12" t="s">
        <v>121</v>
      </c>
      <c r="R85" s="12"/>
      <c r="S85" s="11">
        <v>455</v>
      </c>
      <c r="T85" s="11" t="str">
        <f>"361,8029"</f>
        <v>361,8029</v>
      </c>
      <c r="U85" s="11" t="s">
        <v>27</v>
      </c>
    </row>
    <row r="87" spans="1:20" ht="15">
      <c r="A87" s="116" t="s">
        <v>94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</row>
    <row r="88" spans="1:21" ht="12.75">
      <c r="A88" s="7" t="s">
        <v>361</v>
      </c>
      <c r="B88" s="7" t="s">
        <v>362</v>
      </c>
      <c r="C88" s="7" t="s">
        <v>363</v>
      </c>
      <c r="D88" s="23" t="str">
        <f>"0,6410"</f>
        <v>0,6410</v>
      </c>
      <c r="E88" s="7" t="s">
        <v>16</v>
      </c>
      <c r="F88" s="25" t="s">
        <v>364</v>
      </c>
      <c r="G88" s="7" t="s">
        <v>65</v>
      </c>
      <c r="H88" s="8"/>
      <c r="I88" s="8"/>
      <c r="J88" s="8"/>
      <c r="K88" s="7" t="s">
        <v>24</v>
      </c>
      <c r="L88" s="8" t="s">
        <v>25</v>
      </c>
      <c r="M88" s="8" t="s">
        <v>25</v>
      </c>
      <c r="N88" s="8"/>
      <c r="O88" s="7" t="s">
        <v>57</v>
      </c>
      <c r="P88" s="7" t="s">
        <v>292</v>
      </c>
      <c r="Q88" s="7" t="s">
        <v>313</v>
      </c>
      <c r="R88" s="8"/>
      <c r="S88" s="7">
        <v>602.5</v>
      </c>
      <c r="T88" s="7" t="str">
        <f>"386,2025"</f>
        <v>386,2025</v>
      </c>
      <c r="U88" s="7" t="s">
        <v>365</v>
      </c>
    </row>
    <row r="89" spans="1:21" ht="12.75">
      <c r="A89" s="9" t="s">
        <v>366</v>
      </c>
      <c r="B89" s="9" t="s">
        <v>367</v>
      </c>
      <c r="C89" s="9" t="s">
        <v>368</v>
      </c>
      <c r="D89" s="21" t="str">
        <f>"0,6487"</f>
        <v>0,6487</v>
      </c>
      <c r="E89" s="9" t="s">
        <v>16</v>
      </c>
      <c r="F89" s="22" t="s">
        <v>369</v>
      </c>
      <c r="G89" s="9" t="s">
        <v>56</v>
      </c>
      <c r="H89" s="10"/>
      <c r="I89" s="10"/>
      <c r="J89" s="10"/>
      <c r="K89" s="9" t="s">
        <v>24</v>
      </c>
      <c r="L89" s="9" t="s">
        <v>216</v>
      </c>
      <c r="M89" s="9" t="s">
        <v>25</v>
      </c>
      <c r="N89" s="10"/>
      <c r="O89" s="9" t="s">
        <v>56</v>
      </c>
      <c r="P89" s="9" t="s">
        <v>370</v>
      </c>
      <c r="Q89" s="9" t="s">
        <v>57</v>
      </c>
      <c r="R89" s="10"/>
      <c r="S89" s="9">
        <v>560</v>
      </c>
      <c r="T89" s="9" t="str">
        <f>"363,2720"</f>
        <v>363,2720</v>
      </c>
      <c r="U89" s="9" t="s">
        <v>1514</v>
      </c>
    </row>
    <row r="90" spans="1:21" ht="12.75">
      <c r="A90" s="9" t="s">
        <v>371</v>
      </c>
      <c r="B90" s="9" t="s">
        <v>372</v>
      </c>
      <c r="C90" s="9" t="s">
        <v>373</v>
      </c>
      <c r="D90" s="21" t="str">
        <f>"0,6413"</f>
        <v>0,6413</v>
      </c>
      <c r="E90" s="9" t="s">
        <v>16</v>
      </c>
      <c r="F90" s="22" t="s">
        <v>374</v>
      </c>
      <c r="G90" s="9" t="s">
        <v>88</v>
      </c>
      <c r="H90" s="10"/>
      <c r="I90" s="10"/>
      <c r="J90" s="10"/>
      <c r="K90" s="9" t="s">
        <v>225</v>
      </c>
      <c r="L90" s="9" t="s">
        <v>25</v>
      </c>
      <c r="M90" s="9" t="s">
        <v>308</v>
      </c>
      <c r="N90" s="10"/>
      <c r="O90" s="9" t="s">
        <v>99</v>
      </c>
      <c r="P90" s="9" t="s">
        <v>48</v>
      </c>
      <c r="Q90" s="9" t="s">
        <v>49</v>
      </c>
      <c r="R90" s="10"/>
      <c r="S90" s="9">
        <v>557.5</v>
      </c>
      <c r="T90" s="9" t="str">
        <f>"357,5248"</f>
        <v>357,5248</v>
      </c>
      <c r="U90" s="9" t="s">
        <v>27</v>
      </c>
    </row>
    <row r="91" spans="1:21" ht="12.75">
      <c r="A91" s="9" t="s">
        <v>375</v>
      </c>
      <c r="B91" s="9" t="s">
        <v>376</v>
      </c>
      <c r="C91" s="9" t="s">
        <v>105</v>
      </c>
      <c r="D91" s="21" t="str">
        <f>"0,6395"</f>
        <v>0,6395</v>
      </c>
      <c r="E91" s="9" t="s">
        <v>16</v>
      </c>
      <c r="F91" s="22" t="s">
        <v>347</v>
      </c>
      <c r="G91" s="9" t="s">
        <v>56</v>
      </c>
      <c r="H91" s="10"/>
      <c r="I91" s="10"/>
      <c r="J91" s="10"/>
      <c r="K91" s="10" t="s">
        <v>30</v>
      </c>
      <c r="L91" s="9" t="s">
        <v>25</v>
      </c>
      <c r="M91" s="10" t="s">
        <v>58</v>
      </c>
      <c r="N91" s="10"/>
      <c r="O91" s="9" t="s">
        <v>49</v>
      </c>
      <c r="P91" s="9" t="s">
        <v>88</v>
      </c>
      <c r="Q91" s="10" t="s">
        <v>113</v>
      </c>
      <c r="R91" s="10"/>
      <c r="S91" s="9">
        <v>555</v>
      </c>
      <c r="T91" s="9" t="str">
        <f>"354,9225"</f>
        <v>354,9225</v>
      </c>
      <c r="U91" s="9" t="s">
        <v>1515</v>
      </c>
    </row>
    <row r="92" spans="1:21" ht="12.75">
      <c r="A92" s="9" t="s">
        <v>377</v>
      </c>
      <c r="B92" s="9" t="s">
        <v>378</v>
      </c>
      <c r="C92" s="9" t="s">
        <v>379</v>
      </c>
      <c r="D92" s="21" t="str">
        <f>"0,6388"</f>
        <v>0,6388</v>
      </c>
      <c r="E92" s="9" t="s">
        <v>16</v>
      </c>
      <c r="F92" s="22" t="s">
        <v>1492</v>
      </c>
      <c r="G92" s="9" t="s">
        <v>74</v>
      </c>
      <c r="H92" s="10"/>
      <c r="I92" s="10"/>
      <c r="J92" s="10"/>
      <c r="K92" s="9" t="s">
        <v>59</v>
      </c>
      <c r="L92" s="9" t="s">
        <v>42</v>
      </c>
      <c r="M92" s="9" t="s">
        <v>99</v>
      </c>
      <c r="N92" s="10"/>
      <c r="O92" s="9" t="s">
        <v>68</v>
      </c>
      <c r="P92" s="9" t="s">
        <v>79</v>
      </c>
      <c r="Q92" s="9" t="s">
        <v>72</v>
      </c>
      <c r="R92" s="10"/>
      <c r="S92" s="9">
        <v>660</v>
      </c>
      <c r="T92" s="9" t="str">
        <f>"421,6080"</f>
        <v>421,6080</v>
      </c>
      <c r="U92" s="9" t="s">
        <v>380</v>
      </c>
    </row>
    <row r="93" spans="1:21" ht="12.75">
      <c r="A93" s="9" t="s">
        <v>381</v>
      </c>
      <c r="B93" s="9" t="s">
        <v>382</v>
      </c>
      <c r="C93" s="9" t="s">
        <v>383</v>
      </c>
      <c r="D93" s="21" t="str">
        <f>"0,6447"</f>
        <v>0,6447</v>
      </c>
      <c r="E93" s="9" t="s">
        <v>16</v>
      </c>
      <c r="F93" s="22" t="s">
        <v>384</v>
      </c>
      <c r="G93" s="9" t="s">
        <v>79</v>
      </c>
      <c r="H93" s="10"/>
      <c r="I93" s="10"/>
      <c r="J93" s="10"/>
      <c r="K93" s="10" t="s">
        <v>33</v>
      </c>
      <c r="L93" s="9" t="s">
        <v>33</v>
      </c>
      <c r="M93" s="9" t="s">
        <v>38</v>
      </c>
      <c r="N93" s="10"/>
      <c r="O93" s="9" t="s">
        <v>88</v>
      </c>
      <c r="P93" s="9" t="s">
        <v>352</v>
      </c>
      <c r="Q93" s="9" t="s">
        <v>65</v>
      </c>
      <c r="R93" s="10"/>
      <c r="S93" s="9">
        <v>630</v>
      </c>
      <c r="T93" s="9" t="str">
        <f>"406,1610"</f>
        <v>406,1610</v>
      </c>
      <c r="U93" s="9" t="s">
        <v>1516</v>
      </c>
    </row>
    <row r="94" spans="1:21" ht="12.75">
      <c r="A94" s="9" t="s">
        <v>385</v>
      </c>
      <c r="B94" s="9" t="s">
        <v>386</v>
      </c>
      <c r="C94" s="9" t="s">
        <v>387</v>
      </c>
      <c r="D94" s="21" t="str">
        <f>"0,6532"</f>
        <v>0,6532</v>
      </c>
      <c r="E94" s="9" t="s">
        <v>16</v>
      </c>
      <c r="F94" s="22" t="s">
        <v>1492</v>
      </c>
      <c r="G94" s="9" t="s">
        <v>121</v>
      </c>
      <c r="H94" s="10"/>
      <c r="I94" s="10"/>
      <c r="J94" s="10"/>
      <c r="K94" s="9" t="s">
        <v>25</v>
      </c>
      <c r="L94" s="10" t="s">
        <v>33</v>
      </c>
      <c r="M94" s="10" t="s">
        <v>35</v>
      </c>
      <c r="N94" s="10"/>
      <c r="O94" s="9" t="s">
        <v>113</v>
      </c>
      <c r="P94" s="10" t="s">
        <v>68</v>
      </c>
      <c r="Q94" s="10" t="s">
        <v>68</v>
      </c>
      <c r="R94" s="10"/>
      <c r="S94" s="9">
        <v>540</v>
      </c>
      <c r="T94" s="9" t="str">
        <f>"352,7280"</f>
        <v>352,7280</v>
      </c>
      <c r="U94" s="9" t="s">
        <v>27</v>
      </c>
    </row>
    <row r="95" spans="1:21" ht="12.75">
      <c r="A95" s="9" t="s">
        <v>388</v>
      </c>
      <c r="B95" s="9" t="s">
        <v>389</v>
      </c>
      <c r="C95" s="9" t="s">
        <v>97</v>
      </c>
      <c r="D95" s="21" t="str">
        <f>"0,6384"</f>
        <v>0,6384</v>
      </c>
      <c r="E95" s="9" t="s">
        <v>1485</v>
      </c>
      <c r="F95" s="22" t="s">
        <v>1496</v>
      </c>
      <c r="G95" s="9" t="s">
        <v>72</v>
      </c>
      <c r="H95" s="10"/>
      <c r="I95" s="10"/>
      <c r="J95" s="10"/>
      <c r="K95" s="9" t="s">
        <v>99</v>
      </c>
      <c r="L95" s="9" t="s">
        <v>121</v>
      </c>
      <c r="M95" s="9" t="s">
        <v>342</v>
      </c>
      <c r="N95" s="10"/>
      <c r="O95" s="9" t="s">
        <v>63</v>
      </c>
      <c r="P95" s="9" t="s">
        <v>116</v>
      </c>
      <c r="Q95" s="9" t="s">
        <v>390</v>
      </c>
      <c r="R95" s="10"/>
      <c r="S95" s="9">
        <v>722.5</v>
      </c>
      <c r="T95" s="9" t="str">
        <f>"461,2440"</f>
        <v>461,2440</v>
      </c>
      <c r="U95" s="9" t="s">
        <v>293</v>
      </c>
    </row>
    <row r="96" spans="1:21" ht="12.75">
      <c r="A96" s="9" t="s">
        <v>391</v>
      </c>
      <c r="B96" s="9" t="s">
        <v>392</v>
      </c>
      <c r="C96" s="9" t="s">
        <v>393</v>
      </c>
      <c r="D96" s="21" t="str">
        <f>"0,6398"</f>
        <v>0,6398</v>
      </c>
      <c r="E96" s="9" t="s">
        <v>16</v>
      </c>
      <c r="F96" s="22" t="s">
        <v>47</v>
      </c>
      <c r="G96" s="9" t="s">
        <v>77</v>
      </c>
      <c r="H96" s="10"/>
      <c r="I96" s="10"/>
      <c r="J96" s="10"/>
      <c r="K96" s="9" t="s">
        <v>109</v>
      </c>
      <c r="L96" s="9" t="s">
        <v>99</v>
      </c>
      <c r="M96" s="10" t="s">
        <v>43</v>
      </c>
      <c r="N96" s="10"/>
      <c r="O96" s="9" t="s">
        <v>63</v>
      </c>
      <c r="P96" s="9" t="s">
        <v>116</v>
      </c>
      <c r="Q96" s="9" t="s">
        <v>73</v>
      </c>
      <c r="R96" s="10"/>
      <c r="S96" s="9">
        <v>705</v>
      </c>
      <c r="T96" s="9" t="str">
        <f>"451,0590"</f>
        <v>451,0590</v>
      </c>
      <c r="U96" s="9" t="s">
        <v>27</v>
      </c>
    </row>
    <row r="97" spans="1:21" ht="12.75">
      <c r="A97" s="9" t="s">
        <v>394</v>
      </c>
      <c r="B97" s="9" t="s">
        <v>395</v>
      </c>
      <c r="C97" s="9" t="s">
        <v>396</v>
      </c>
      <c r="D97" s="21" t="str">
        <f>"0,6428"</f>
        <v>0,6428</v>
      </c>
      <c r="E97" s="9" t="s">
        <v>1487</v>
      </c>
      <c r="F97" s="22" t="s">
        <v>341</v>
      </c>
      <c r="G97" s="9" t="s">
        <v>77</v>
      </c>
      <c r="H97" s="10"/>
      <c r="I97" s="10"/>
      <c r="J97" s="10"/>
      <c r="K97" s="9" t="s">
        <v>59</v>
      </c>
      <c r="L97" s="9" t="s">
        <v>348</v>
      </c>
      <c r="M97" s="10" t="s">
        <v>42</v>
      </c>
      <c r="N97" s="10"/>
      <c r="O97" s="9" t="s">
        <v>65</v>
      </c>
      <c r="P97" s="9" t="s">
        <v>63</v>
      </c>
      <c r="Q97" s="9" t="s">
        <v>72</v>
      </c>
      <c r="R97" s="10"/>
      <c r="S97" s="9">
        <v>682.5</v>
      </c>
      <c r="T97" s="9" t="str">
        <f>"438,7110"</f>
        <v>438,7110</v>
      </c>
      <c r="U97" s="9" t="s">
        <v>27</v>
      </c>
    </row>
    <row r="98" spans="1:21" ht="12.75">
      <c r="A98" s="9" t="s">
        <v>397</v>
      </c>
      <c r="B98" s="9" t="s">
        <v>398</v>
      </c>
      <c r="C98" s="9" t="s">
        <v>363</v>
      </c>
      <c r="D98" s="21" t="str">
        <f>"0,6410"</f>
        <v>0,6410</v>
      </c>
      <c r="E98" s="9" t="s">
        <v>340</v>
      </c>
      <c r="F98" s="22" t="s">
        <v>341</v>
      </c>
      <c r="G98" s="9" t="s">
        <v>77</v>
      </c>
      <c r="H98" s="10"/>
      <c r="I98" s="10"/>
      <c r="J98" s="10"/>
      <c r="K98" s="9" t="s">
        <v>42</v>
      </c>
      <c r="L98" s="10" t="s">
        <v>399</v>
      </c>
      <c r="M98" s="9" t="s">
        <v>399</v>
      </c>
      <c r="N98" s="10"/>
      <c r="O98" s="9" t="s">
        <v>57</v>
      </c>
      <c r="P98" s="9" t="s">
        <v>68</v>
      </c>
      <c r="Q98" s="9" t="s">
        <v>79</v>
      </c>
      <c r="R98" s="10"/>
      <c r="S98" s="9">
        <v>682.5</v>
      </c>
      <c r="T98" s="9" t="str">
        <f>"437,4825"</f>
        <v>437,4825</v>
      </c>
      <c r="U98" s="9" t="s">
        <v>343</v>
      </c>
    </row>
    <row r="99" spans="1:21" ht="12.75">
      <c r="A99" s="9" t="s">
        <v>400</v>
      </c>
      <c r="B99" s="9" t="s">
        <v>401</v>
      </c>
      <c r="C99" s="9" t="s">
        <v>402</v>
      </c>
      <c r="D99" s="21" t="str">
        <f>"0,6406"</f>
        <v>0,6406</v>
      </c>
      <c r="E99" s="9" t="s">
        <v>16</v>
      </c>
      <c r="F99" s="22" t="s">
        <v>403</v>
      </c>
      <c r="G99" s="9" t="s">
        <v>88</v>
      </c>
      <c r="H99" s="10"/>
      <c r="I99" s="10"/>
      <c r="J99" s="10"/>
      <c r="K99" s="9" t="s">
        <v>59</v>
      </c>
      <c r="L99" s="9" t="s">
        <v>42</v>
      </c>
      <c r="M99" s="10" t="s">
        <v>99</v>
      </c>
      <c r="N99" s="10"/>
      <c r="O99" s="9" t="s">
        <v>56</v>
      </c>
      <c r="P99" s="9" t="s">
        <v>57</v>
      </c>
      <c r="Q99" s="9" t="s">
        <v>68</v>
      </c>
      <c r="R99" s="10"/>
      <c r="S99" s="9">
        <v>620</v>
      </c>
      <c r="T99" s="9" t="str">
        <f>"397,1720"</f>
        <v>397,1720</v>
      </c>
      <c r="U99" s="9" t="s">
        <v>27</v>
      </c>
    </row>
    <row r="100" spans="1:21" ht="12.75">
      <c r="A100" s="9" t="s">
        <v>404</v>
      </c>
      <c r="B100" s="9" t="s">
        <v>405</v>
      </c>
      <c r="C100" s="9" t="s">
        <v>107</v>
      </c>
      <c r="D100" s="21" t="str">
        <f>"0,6432"</f>
        <v>0,6432</v>
      </c>
      <c r="E100" s="9" t="s">
        <v>16</v>
      </c>
      <c r="F100" s="22" t="s">
        <v>98</v>
      </c>
      <c r="G100" s="9" t="s">
        <v>74</v>
      </c>
      <c r="H100" s="10"/>
      <c r="I100" s="10"/>
      <c r="J100" s="10"/>
      <c r="K100" s="9" t="s">
        <v>58</v>
      </c>
      <c r="L100" s="10" t="s">
        <v>33</v>
      </c>
      <c r="M100" s="9" t="s">
        <v>33</v>
      </c>
      <c r="N100" s="10"/>
      <c r="O100" s="9" t="s">
        <v>57</v>
      </c>
      <c r="P100" s="9" t="s">
        <v>74</v>
      </c>
      <c r="Q100" s="9" t="s">
        <v>68</v>
      </c>
      <c r="R100" s="10"/>
      <c r="S100" s="9">
        <v>605</v>
      </c>
      <c r="T100" s="9" t="str">
        <f>"389,1360"</f>
        <v>389,1360</v>
      </c>
      <c r="U100" s="9" t="s">
        <v>27</v>
      </c>
    </row>
    <row r="101" spans="1:21" ht="12.75">
      <c r="A101" s="9" t="s">
        <v>406</v>
      </c>
      <c r="B101" s="9" t="s">
        <v>407</v>
      </c>
      <c r="C101" s="9" t="s">
        <v>408</v>
      </c>
      <c r="D101" s="21" t="str">
        <f>"0,6553"</f>
        <v>0,6553</v>
      </c>
      <c r="E101" s="9" t="s">
        <v>16</v>
      </c>
      <c r="F101" s="22" t="s">
        <v>409</v>
      </c>
      <c r="G101" s="9" t="s">
        <v>48</v>
      </c>
      <c r="H101" s="10"/>
      <c r="I101" s="10"/>
      <c r="J101" s="10"/>
      <c r="K101" s="9" t="s">
        <v>33</v>
      </c>
      <c r="L101" s="9" t="s">
        <v>38</v>
      </c>
      <c r="M101" s="10" t="s">
        <v>410</v>
      </c>
      <c r="N101" s="10"/>
      <c r="O101" s="10" t="s">
        <v>56</v>
      </c>
      <c r="P101" s="9" t="s">
        <v>56</v>
      </c>
      <c r="Q101" s="10" t="s">
        <v>411</v>
      </c>
      <c r="R101" s="10"/>
      <c r="S101" s="9">
        <v>545</v>
      </c>
      <c r="T101" s="9" t="str">
        <f>"357,1385"</f>
        <v>357,1385</v>
      </c>
      <c r="U101" s="9" t="s">
        <v>27</v>
      </c>
    </row>
    <row r="102" spans="1:21" ht="12.75">
      <c r="A102" s="9" t="s">
        <v>412</v>
      </c>
      <c r="B102" s="9" t="s">
        <v>413</v>
      </c>
      <c r="C102" s="9" t="s">
        <v>414</v>
      </c>
      <c r="D102" s="21" t="str">
        <f>"0,6455"</f>
        <v>0,6455</v>
      </c>
      <c r="E102" s="9" t="s">
        <v>16</v>
      </c>
      <c r="F102" s="22" t="s">
        <v>1492</v>
      </c>
      <c r="G102" s="9" t="s">
        <v>42</v>
      </c>
      <c r="H102" s="10"/>
      <c r="I102" s="10"/>
      <c r="J102" s="10"/>
      <c r="K102" s="9" t="s">
        <v>30</v>
      </c>
      <c r="L102" s="10" t="s">
        <v>25</v>
      </c>
      <c r="M102" s="10" t="s">
        <v>25</v>
      </c>
      <c r="N102" s="10"/>
      <c r="O102" s="9" t="s">
        <v>48</v>
      </c>
      <c r="P102" s="9" t="s">
        <v>44</v>
      </c>
      <c r="Q102" s="10" t="s">
        <v>49</v>
      </c>
      <c r="R102" s="10"/>
      <c r="S102" s="9">
        <v>495</v>
      </c>
      <c r="T102" s="9" t="str">
        <f>"319,5225"</f>
        <v>319,5225</v>
      </c>
      <c r="U102" s="9" t="s">
        <v>1517</v>
      </c>
    </row>
    <row r="103" spans="1:21" ht="12.75">
      <c r="A103" s="9" t="s">
        <v>415</v>
      </c>
      <c r="B103" s="9" t="s">
        <v>416</v>
      </c>
      <c r="C103" s="9" t="s">
        <v>417</v>
      </c>
      <c r="D103" s="21" t="str">
        <f>"0,6471"</f>
        <v>0,6471</v>
      </c>
      <c r="E103" s="9" t="s">
        <v>16</v>
      </c>
      <c r="F103" s="22" t="s">
        <v>409</v>
      </c>
      <c r="G103" s="10" t="s">
        <v>49</v>
      </c>
      <c r="H103" s="10"/>
      <c r="I103" s="10"/>
      <c r="J103" s="10"/>
      <c r="K103" s="10" t="s">
        <v>58</v>
      </c>
      <c r="L103" s="10"/>
      <c r="M103" s="10"/>
      <c r="N103" s="10"/>
      <c r="O103" s="10" t="s">
        <v>74</v>
      </c>
      <c r="P103" s="10"/>
      <c r="Q103" s="10"/>
      <c r="R103" s="10"/>
      <c r="S103" s="9">
        <v>0</v>
      </c>
      <c r="T103" s="9" t="str">
        <f>"0,0000"</f>
        <v>0,0000</v>
      </c>
      <c r="U103" s="9" t="s">
        <v>27</v>
      </c>
    </row>
    <row r="104" spans="1:21" ht="12.75">
      <c r="A104" s="9" t="s">
        <v>418</v>
      </c>
      <c r="B104" s="9" t="s">
        <v>419</v>
      </c>
      <c r="C104" s="9" t="s">
        <v>420</v>
      </c>
      <c r="D104" s="21" t="str">
        <f>"0,6436"</f>
        <v>0,6436</v>
      </c>
      <c r="E104" s="9" t="s">
        <v>16</v>
      </c>
      <c r="F104" s="22" t="s">
        <v>1505</v>
      </c>
      <c r="G104" s="10" t="s">
        <v>57</v>
      </c>
      <c r="H104" s="10"/>
      <c r="I104" s="10"/>
      <c r="J104" s="10"/>
      <c r="K104" s="10" t="s">
        <v>25</v>
      </c>
      <c r="L104" s="10"/>
      <c r="M104" s="10"/>
      <c r="N104" s="10"/>
      <c r="O104" s="10" t="s">
        <v>74</v>
      </c>
      <c r="P104" s="10"/>
      <c r="Q104" s="10"/>
      <c r="R104" s="10"/>
      <c r="S104" s="9">
        <v>0</v>
      </c>
      <c r="T104" s="9" t="str">
        <f>"0,0000"</f>
        <v>0,0000</v>
      </c>
      <c r="U104" s="9" t="s">
        <v>1518</v>
      </c>
    </row>
    <row r="105" spans="1:21" ht="12.75">
      <c r="A105" s="9" t="s">
        <v>422</v>
      </c>
      <c r="B105" s="9" t="s">
        <v>423</v>
      </c>
      <c r="C105" s="9" t="s">
        <v>97</v>
      </c>
      <c r="D105" s="21" t="str">
        <f>"0,6384"</f>
        <v>0,6384</v>
      </c>
      <c r="E105" s="9" t="s">
        <v>16</v>
      </c>
      <c r="F105" s="22" t="s">
        <v>424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9">
        <v>0</v>
      </c>
      <c r="T105" s="9" t="str">
        <f>"0,0000"</f>
        <v>0,0000</v>
      </c>
      <c r="U105" s="9" t="s">
        <v>27</v>
      </c>
    </row>
    <row r="106" spans="1:21" ht="12.75">
      <c r="A106" s="9" t="s">
        <v>425</v>
      </c>
      <c r="B106" s="9" t="s">
        <v>426</v>
      </c>
      <c r="C106" s="9" t="s">
        <v>97</v>
      </c>
      <c r="D106" s="21" t="str">
        <f>"0,6384"</f>
        <v>0,6384</v>
      </c>
      <c r="E106" s="9" t="s">
        <v>1485</v>
      </c>
      <c r="F106" s="22" t="s">
        <v>1496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9">
        <v>0</v>
      </c>
      <c r="T106" s="9" t="str">
        <f>"0,0000"</f>
        <v>0,0000</v>
      </c>
      <c r="U106" s="9" t="s">
        <v>27</v>
      </c>
    </row>
    <row r="107" spans="1:21" ht="12.75">
      <c r="A107" s="9" t="s">
        <v>404</v>
      </c>
      <c r="B107" s="9" t="s">
        <v>427</v>
      </c>
      <c r="C107" s="9" t="s">
        <v>107</v>
      </c>
      <c r="D107" s="21" t="str">
        <f>"0,6432"</f>
        <v>0,6432</v>
      </c>
      <c r="E107" s="9" t="s">
        <v>16</v>
      </c>
      <c r="F107" s="22" t="s">
        <v>98</v>
      </c>
      <c r="G107" s="9" t="s">
        <v>74</v>
      </c>
      <c r="H107" s="10"/>
      <c r="I107" s="10"/>
      <c r="J107" s="10"/>
      <c r="K107" s="9" t="s">
        <v>58</v>
      </c>
      <c r="L107" s="10" t="s">
        <v>33</v>
      </c>
      <c r="M107" s="9" t="s">
        <v>33</v>
      </c>
      <c r="N107" s="10"/>
      <c r="O107" s="9" t="s">
        <v>57</v>
      </c>
      <c r="P107" s="9" t="s">
        <v>74</v>
      </c>
      <c r="Q107" s="9" t="s">
        <v>68</v>
      </c>
      <c r="R107" s="10"/>
      <c r="S107" s="9">
        <v>605</v>
      </c>
      <c r="T107" s="9" t="str">
        <f>"461,9044"</f>
        <v>461,9044</v>
      </c>
      <c r="U107" s="9" t="s">
        <v>27</v>
      </c>
    </row>
    <row r="108" spans="1:21" ht="12.75">
      <c r="A108" s="11" t="s">
        <v>428</v>
      </c>
      <c r="B108" s="11" t="s">
        <v>429</v>
      </c>
      <c r="C108" s="11" t="s">
        <v>430</v>
      </c>
      <c r="D108" s="24" t="str">
        <f>"0,6592"</f>
        <v>0,6592</v>
      </c>
      <c r="E108" s="11" t="s">
        <v>16</v>
      </c>
      <c r="F108" s="26" t="s">
        <v>431</v>
      </c>
      <c r="G108" s="11" t="s">
        <v>42</v>
      </c>
      <c r="H108" s="12"/>
      <c r="I108" s="12"/>
      <c r="J108" s="12"/>
      <c r="K108" s="11" t="s">
        <v>50</v>
      </c>
      <c r="L108" s="11" t="s">
        <v>17</v>
      </c>
      <c r="M108" s="11" t="s">
        <v>110</v>
      </c>
      <c r="N108" s="12"/>
      <c r="O108" s="11" t="s">
        <v>42</v>
      </c>
      <c r="P108" s="12" t="s">
        <v>121</v>
      </c>
      <c r="Q108" s="11" t="s">
        <v>44</v>
      </c>
      <c r="R108" s="12"/>
      <c r="S108" s="11">
        <v>475</v>
      </c>
      <c r="T108" s="11" t="str">
        <f>"422,7120"</f>
        <v>422,7120</v>
      </c>
      <c r="U108" s="11" t="s">
        <v>432</v>
      </c>
    </row>
    <row r="110" spans="1:20" ht="15">
      <c r="A110" s="116" t="s">
        <v>111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</row>
    <row r="111" spans="1:21" ht="12.75">
      <c r="A111" s="7" t="s">
        <v>433</v>
      </c>
      <c r="B111" s="7" t="s">
        <v>434</v>
      </c>
      <c r="C111" s="7" t="s">
        <v>435</v>
      </c>
      <c r="D111" s="23" t="str">
        <f>"0,6338"</f>
        <v>0,6338</v>
      </c>
      <c r="E111" s="7" t="s">
        <v>16</v>
      </c>
      <c r="F111" s="25" t="s">
        <v>436</v>
      </c>
      <c r="G111" s="8" t="s">
        <v>56</v>
      </c>
      <c r="H111" s="8" t="s">
        <v>56</v>
      </c>
      <c r="I111" s="8" t="s">
        <v>56</v>
      </c>
      <c r="J111" s="8"/>
      <c r="K111" s="8" t="s">
        <v>30</v>
      </c>
      <c r="L111" s="8"/>
      <c r="M111" s="8"/>
      <c r="N111" s="8"/>
      <c r="O111" s="8" t="s">
        <v>56</v>
      </c>
      <c r="P111" s="8"/>
      <c r="Q111" s="8"/>
      <c r="R111" s="8"/>
      <c r="S111" s="7">
        <v>0</v>
      </c>
      <c r="T111" s="7" t="str">
        <f>"0,0000"</f>
        <v>0,0000</v>
      </c>
      <c r="U111" s="7" t="s">
        <v>27</v>
      </c>
    </row>
    <row r="112" spans="1:21" ht="12.75">
      <c r="A112" s="9" t="s">
        <v>437</v>
      </c>
      <c r="B112" s="9" t="s">
        <v>438</v>
      </c>
      <c r="C112" s="9" t="s">
        <v>439</v>
      </c>
      <c r="D112" s="21" t="str">
        <f>"0,6380"</f>
        <v>0,6380</v>
      </c>
      <c r="E112" s="9" t="s">
        <v>1484</v>
      </c>
      <c r="F112" s="22" t="s">
        <v>1497</v>
      </c>
      <c r="G112" s="10" t="s">
        <v>56</v>
      </c>
      <c r="H112" s="10" t="s">
        <v>57</v>
      </c>
      <c r="I112" s="9" t="s">
        <v>57</v>
      </c>
      <c r="J112" s="10"/>
      <c r="K112" s="9" t="s">
        <v>38</v>
      </c>
      <c r="L112" s="9" t="s">
        <v>36</v>
      </c>
      <c r="M112" s="9" t="s">
        <v>123</v>
      </c>
      <c r="N112" s="10"/>
      <c r="O112" s="9" t="s">
        <v>116</v>
      </c>
      <c r="P112" s="10" t="s">
        <v>83</v>
      </c>
      <c r="Q112" s="10" t="s">
        <v>83</v>
      </c>
      <c r="R112" s="10"/>
      <c r="S112" s="9">
        <v>647.5</v>
      </c>
      <c r="T112" s="9" t="str">
        <f>"413,1050"</f>
        <v>413,1050</v>
      </c>
      <c r="U112" s="9" t="s">
        <v>1519</v>
      </c>
    </row>
    <row r="113" spans="1:21" ht="12.75">
      <c r="A113" s="9" t="s">
        <v>440</v>
      </c>
      <c r="B113" s="9" t="s">
        <v>441</v>
      </c>
      <c r="C113" s="9" t="s">
        <v>442</v>
      </c>
      <c r="D113" s="21" t="str">
        <f>"0,6166"</f>
        <v>0,6166</v>
      </c>
      <c r="E113" s="9" t="s">
        <v>16</v>
      </c>
      <c r="F113" s="22" t="s">
        <v>1492</v>
      </c>
      <c r="G113" s="10" t="s">
        <v>48</v>
      </c>
      <c r="H113" s="9" t="s">
        <v>48</v>
      </c>
      <c r="I113" s="9" t="s">
        <v>56</v>
      </c>
      <c r="J113" s="10"/>
      <c r="K113" s="9" t="s">
        <v>24</v>
      </c>
      <c r="L113" s="9" t="s">
        <v>216</v>
      </c>
      <c r="M113" s="9" t="s">
        <v>58</v>
      </c>
      <c r="N113" s="10"/>
      <c r="O113" s="9" t="s">
        <v>74</v>
      </c>
      <c r="P113" s="9" t="s">
        <v>79</v>
      </c>
      <c r="Q113" s="9" t="s">
        <v>72</v>
      </c>
      <c r="R113" s="10"/>
      <c r="S113" s="9">
        <v>600</v>
      </c>
      <c r="T113" s="9" t="str">
        <f>"369,9600"</f>
        <v>369,9600</v>
      </c>
      <c r="U113" s="9" t="s">
        <v>443</v>
      </c>
    </row>
    <row r="114" spans="1:21" ht="12.75">
      <c r="A114" s="9" t="s">
        <v>437</v>
      </c>
      <c r="B114" s="9" t="s">
        <v>438</v>
      </c>
      <c r="C114" s="9" t="s">
        <v>439</v>
      </c>
      <c r="D114" s="21" t="str">
        <f>"0,6380"</f>
        <v>0,6380</v>
      </c>
      <c r="E114" s="9" t="s">
        <v>1484</v>
      </c>
      <c r="F114" s="22" t="s">
        <v>1497</v>
      </c>
      <c r="G114" s="10" t="s">
        <v>72</v>
      </c>
      <c r="H114" s="10"/>
      <c r="I114" s="10"/>
      <c r="J114" s="10"/>
      <c r="K114" s="10" t="s">
        <v>38</v>
      </c>
      <c r="L114" s="10"/>
      <c r="M114" s="10"/>
      <c r="N114" s="10"/>
      <c r="O114" s="10" t="s">
        <v>73</v>
      </c>
      <c r="P114" s="10" t="s">
        <v>82</v>
      </c>
      <c r="Q114" s="10"/>
      <c r="R114" s="10"/>
      <c r="S114" s="9">
        <v>0</v>
      </c>
      <c r="T114" s="9" t="str">
        <f>"0,0000"</f>
        <v>0,0000</v>
      </c>
      <c r="U114" s="9" t="s">
        <v>1520</v>
      </c>
    </row>
    <row r="115" spans="1:21" ht="12.75">
      <c r="A115" s="9" t="s">
        <v>444</v>
      </c>
      <c r="B115" s="9" t="s">
        <v>445</v>
      </c>
      <c r="C115" s="9" t="s">
        <v>128</v>
      </c>
      <c r="D115" s="21" t="str">
        <f>"0,6088"</f>
        <v>0,6088</v>
      </c>
      <c r="E115" s="9" t="s">
        <v>16</v>
      </c>
      <c r="F115" s="22" t="s">
        <v>1492</v>
      </c>
      <c r="G115" s="10" t="s">
        <v>390</v>
      </c>
      <c r="H115" s="9" t="s">
        <v>83</v>
      </c>
      <c r="I115" s="10" t="s">
        <v>115</v>
      </c>
      <c r="J115" s="10"/>
      <c r="K115" s="9" t="s">
        <v>99</v>
      </c>
      <c r="L115" s="9" t="s">
        <v>121</v>
      </c>
      <c r="M115" s="10" t="s">
        <v>48</v>
      </c>
      <c r="N115" s="10"/>
      <c r="O115" s="9" t="s">
        <v>73</v>
      </c>
      <c r="P115" s="9" t="s">
        <v>446</v>
      </c>
      <c r="Q115" s="9" t="s">
        <v>447</v>
      </c>
      <c r="R115" s="10"/>
      <c r="S115" s="9">
        <v>757.5</v>
      </c>
      <c r="T115" s="9" t="str">
        <f>"461,1660"</f>
        <v>461,1660</v>
      </c>
      <c r="U115" s="9" t="s">
        <v>448</v>
      </c>
    </row>
    <row r="116" spans="1:21" ht="12.75">
      <c r="A116" s="9" t="s">
        <v>449</v>
      </c>
      <c r="B116" s="9" t="s">
        <v>450</v>
      </c>
      <c r="C116" s="9" t="s">
        <v>112</v>
      </c>
      <c r="D116" s="21" t="str">
        <f>"0,6194"</f>
        <v>0,6194</v>
      </c>
      <c r="E116" s="9" t="s">
        <v>340</v>
      </c>
      <c r="F116" s="22" t="s">
        <v>341</v>
      </c>
      <c r="G116" s="10" t="s">
        <v>83</v>
      </c>
      <c r="H116" s="9" t="s">
        <v>83</v>
      </c>
      <c r="I116" s="9" t="s">
        <v>106</v>
      </c>
      <c r="J116" s="10"/>
      <c r="K116" s="9" t="s">
        <v>99</v>
      </c>
      <c r="L116" s="9" t="s">
        <v>309</v>
      </c>
      <c r="M116" s="10"/>
      <c r="N116" s="10"/>
      <c r="O116" s="9" t="s">
        <v>313</v>
      </c>
      <c r="P116" s="9" t="s">
        <v>67</v>
      </c>
      <c r="Q116" s="9" t="s">
        <v>451</v>
      </c>
      <c r="R116" s="10"/>
      <c r="S116" s="9">
        <v>755</v>
      </c>
      <c r="T116" s="9" t="str">
        <f>"467,6470"</f>
        <v>467,6470</v>
      </c>
      <c r="U116" s="9" t="s">
        <v>343</v>
      </c>
    </row>
    <row r="117" spans="1:21" ht="12.75">
      <c r="A117" s="9" t="s">
        <v>452</v>
      </c>
      <c r="B117" s="9" t="s">
        <v>453</v>
      </c>
      <c r="C117" s="9" t="s">
        <v>454</v>
      </c>
      <c r="D117" s="21" t="str">
        <f>"0,6325"</f>
        <v>0,6325</v>
      </c>
      <c r="E117" s="9" t="s">
        <v>16</v>
      </c>
      <c r="F117" s="22" t="s">
        <v>87</v>
      </c>
      <c r="G117" s="9" t="s">
        <v>56</v>
      </c>
      <c r="H117" s="9" t="s">
        <v>74</v>
      </c>
      <c r="I117" s="9" t="s">
        <v>63</v>
      </c>
      <c r="J117" s="10"/>
      <c r="K117" s="9" t="s">
        <v>35</v>
      </c>
      <c r="L117" s="9" t="s">
        <v>36</v>
      </c>
      <c r="M117" s="9" t="s">
        <v>59</v>
      </c>
      <c r="N117" s="10"/>
      <c r="O117" s="9" t="s">
        <v>65</v>
      </c>
      <c r="P117" s="9" t="s">
        <v>72</v>
      </c>
      <c r="Q117" s="9" t="s">
        <v>116</v>
      </c>
      <c r="R117" s="10"/>
      <c r="S117" s="9">
        <v>675</v>
      </c>
      <c r="T117" s="9" t="str">
        <f>"426,9375"</f>
        <v>426,9375</v>
      </c>
      <c r="U117" s="9" t="s">
        <v>27</v>
      </c>
    </row>
    <row r="118" spans="1:21" ht="12.75">
      <c r="A118" s="9" t="s">
        <v>455</v>
      </c>
      <c r="B118" s="9" t="s">
        <v>456</v>
      </c>
      <c r="C118" s="9" t="s">
        <v>457</v>
      </c>
      <c r="D118" s="21" t="str">
        <f>"0,6169"</f>
        <v>0,6169</v>
      </c>
      <c r="E118" s="9" t="s">
        <v>23</v>
      </c>
      <c r="F118" s="22" t="s">
        <v>458</v>
      </c>
      <c r="G118" s="10" t="s">
        <v>74</v>
      </c>
      <c r="H118" s="9" t="s">
        <v>74</v>
      </c>
      <c r="I118" s="9" t="s">
        <v>63</v>
      </c>
      <c r="J118" s="10"/>
      <c r="K118" s="9" t="s">
        <v>33</v>
      </c>
      <c r="L118" s="9" t="s">
        <v>35</v>
      </c>
      <c r="M118" s="10" t="s">
        <v>59</v>
      </c>
      <c r="N118" s="10"/>
      <c r="O118" s="9" t="s">
        <v>74</v>
      </c>
      <c r="P118" s="9" t="s">
        <v>63</v>
      </c>
      <c r="Q118" s="9" t="s">
        <v>77</v>
      </c>
      <c r="R118" s="10"/>
      <c r="S118" s="9">
        <v>660</v>
      </c>
      <c r="T118" s="9" t="str">
        <f>"407,1540"</f>
        <v>407,1540</v>
      </c>
      <c r="U118" s="9" t="s">
        <v>27</v>
      </c>
    </row>
    <row r="119" spans="1:21" ht="12.75">
      <c r="A119" s="9" t="s">
        <v>437</v>
      </c>
      <c r="B119" s="9" t="s">
        <v>459</v>
      </c>
      <c r="C119" s="9" t="s">
        <v>439</v>
      </c>
      <c r="D119" s="21" t="str">
        <f>"0,6380"</f>
        <v>0,6380</v>
      </c>
      <c r="E119" s="9" t="s">
        <v>1484</v>
      </c>
      <c r="F119" s="22" t="s">
        <v>1497</v>
      </c>
      <c r="G119" s="10" t="s">
        <v>56</v>
      </c>
      <c r="H119" s="10" t="s">
        <v>57</v>
      </c>
      <c r="I119" s="9" t="s">
        <v>57</v>
      </c>
      <c r="J119" s="10"/>
      <c r="K119" s="9" t="s">
        <v>38</v>
      </c>
      <c r="L119" s="9" t="s">
        <v>36</v>
      </c>
      <c r="M119" s="9" t="s">
        <v>123</v>
      </c>
      <c r="N119" s="10"/>
      <c r="O119" s="9" t="s">
        <v>116</v>
      </c>
      <c r="P119" s="10" t="s">
        <v>83</v>
      </c>
      <c r="Q119" s="10" t="s">
        <v>83</v>
      </c>
      <c r="R119" s="10"/>
      <c r="S119" s="9">
        <v>647.5</v>
      </c>
      <c r="T119" s="9" t="str">
        <f>"413,1050"</f>
        <v>413,1050</v>
      </c>
      <c r="U119" s="9" t="s">
        <v>1520</v>
      </c>
    </row>
    <row r="120" spans="1:21" ht="12.75">
      <c r="A120" s="9" t="s">
        <v>460</v>
      </c>
      <c r="B120" s="9" t="s">
        <v>461</v>
      </c>
      <c r="C120" s="9" t="s">
        <v>462</v>
      </c>
      <c r="D120" s="21" t="str">
        <f>"0,6086"</f>
        <v>0,6086</v>
      </c>
      <c r="E120" s="9" t="s">
        <v>16</v>
      </c>
      <c r="F120" s="22" t="s">
        <v>1582</v>
      </c>
      <c r="G120" s="10" t="s">
        <v>74</v>
      </c>
      <c r="H120" s="9" t="s">
        <v>74</v>
      </c>
      <c r="I120" s="9" t="s">
        <v>65</v>
      </c>
      <c r="J120" s="10"/>
      <c r="K120" s="10" t="s">
        <v>35</v>
      </c>
      <c r="L120" s="9" t="s">
        <v>35</v>
      </c>
      <c r="M120" s="9" t="s">
        <v>59</v>
      </c>
      <c r="N120" s="10"/>
      <c r="O120" s="9" t="s">
        <v>56</v>
      </c>
      <c r="P120" s="9" t="s">
        <v>74</v>
      </c>
      <c r="Q120" s="9" t="s">
        <v>68</v>
      </c>
      <c r="R120" s="10"/>
      <c r="S120" s="9">
        <v>635</v>
      </c>
      <c r="T120" s="9" t="str">
        <f>"386,4610"</f>
        <v>386,4610</v>
      </c>
      <c r="U120" s="9" t="s">
        <v>27</v>
      </c>
    </row>
    <row r="121" spans="1:21" ht="12.75">
      <c r="A121" s="9" t="s">
        <v>463</v>
      </c>
      <c r="B121" s="9" t="s">
        <v>464</v>
      </c>
      <c r="C121" s="9" t="s">
        <v>135</v>
      </c>
      <c r="D121" s="21" t="str">
        <f>"0,6188"</f>
        <v>0,6188</v>
      </c>
      <c r="E121" s="9" t="s">
        <v>16</v>
      </c>
      <c r="F121" s="22" t="s">
        <v>55</v>
      </c>
      <c r="G121" s="10" t="s">
        <v>44</v>
      </c>
      <c r="H121" s="10" t="s">
        <v>56</v>
      </c>
      <c r="I121" s="9" t="s">
        <v>56</v>
      </c>
      <c r="J121" s="10"/>
      <c r="K121" s="9" t="s">
        <v>33</v>
      </c>
      <c r="L121" s="10" t="s">
        <v>38</v>
      </c>
      <c r="M121" s="10" t="s">
        <v>38</v>
      </c>
      <c r="N121" s="10"/>
      <c r="O121" s="9" t="s">
        <v>77</v>
      </c>
      <c r="P121" s="10" t="s">
        <v>73</v>
      </c>
      <c r="Q121" s="9" t="s">
        <v>390</v>
      </c>
      <c r="R121" s="10"/>
      <c r="S121" s="9">
        <v>625</v>
      </c>
      <c r="T121" s="9" t="str">
        <f>"386,7500"</f>
        <v>386,7500</v>
      </c>
      <c r="U121" s="9" t="s">
        <v>27</v>
      </c>
    </row>
    <row r="122" spans="1:21" ht="12.75">
      <c r="A122" s="9" t="s">
        <v>476</v>
      </c>
      <c r="B122" s="9" t="s">
        <v>477</v>
      </c>
      <c r="C122" s="9" t="s">
        <v>478</v>
      </c>
      <c r="D122" s="21" t="str">
        <f>"0,6134"</f>
        <v>0,6134</v>
      </c>
      <c r="E122" s="9" t="s">
        <v>16</v>
      </c>
      <c r="F122" s="22" t="s">
        <v>1492</v>
      </c>
      <c r="G122" s="9" t="s">
        <v>63</v>
      </c>
      <c r="H122" s="10" t="s">
        <v>73</v>
      </c>
      <c r="I122" s="10" t="s">
        <v>73</v>
      </c>
      <c r="J122" s="10"/>
      <c r="K122" s="9" t="s">
        <v>25</v>
      </c>
      <c r="L122" s="9" t="s">
        <v>308</v>
      </c>
      <c r="M122" s="10" t="s">
        <v>130</v>
      </c>
      <c r="N122" s="10"/>
      <c r="O122" s="9" t="s">
        <v>57</v>
      </c>
      <c r="P122" s="9" t="s">
        <v>65</v>
      </c>
      <c r="Q122" s="10" t="s">
        <v>79</v>
      </c>
      <c r="R122" s="10"/>
      <c r="S122" s="9" t="s">
        <v>1583</v>
      </c>
      <c r="T122" s="9" t="s">
        <v>1584</v>
      </c>
      <c r="U122" s="9" t="s">
        <v>479</v>
      </c>
    </row>
    <row r="123" spans="1:21" ht="12.75">
      <c r="A123" s="9" t="s">
        <v>465</v>
      </c>
      <c r="B123" s="9" t="s">
        <v>466</v>
      </c>
      <c r="C123" s="9" t="s">
        <v>467</v>
      </c>
      <c r="D123" s="21" t="str">
        <f>"0,6217"</f>
        <v>0,6217</v>
      </c>
      <c r="E123" s="9" t="s">
        <v>16</v>
      </c>
      <c r="F123" s="22" t="s">
        <v>114</v>
      </c>
      <c r="G123" s="9" t="s">
        <v>57</v>
      </c>
      <c r="H123" s="9" t="s">
        <v>74</v>
      </c>
      <c r="I123" s="9" t="s">
        <v>468</v>
      </c>
      <c r="J123" s="10"/>
      <c r="K123" s="9" t="s">
        <v>38</v>
      </c>
      <c r="L123" s="9" t="s">
        <v>35</v>
      </c>
      <c r="M123" s="9" t="s">
        <v>36</v>
      </c>
      <c r="N123" s="10"/>
      <c r="O123" s="9" t="s">
        <v>57</v>
      </c>
      <c r="P123" s="9" t="s">
        <v>74</v>
      </c>
      <c r="Q123" s="10" t="s">
        <v>65</v>
      </c>
      <c r="R123" s="10"/>
      <c r="S123" s="9">
        <v>622.5</v>
      </c>
      <c r="T123" s="9" t="str">
        <f>"387,0082"</f>
        <v>387,0082</v>
      </c>
      <c r="U123" s="9" t="s">
        <v>27</v>
      </c>
    </row>
    <row r="124" spans="1:21" ht="12.75">
      <c r="A124" s="9" t="s">
        <v>486</v>
      </c>
      <c r="B124" s="9" t="s">
        <v>3197</v>
      </c>
      <c r="C124" s="9" t="s">
        <v>487</v>
      </c>
      <c r="D124" s="21" t="str">
        <f>"0,6238"</f>
        <v>0,6238</v>
      </c>
      <c r="E124" s="9" t="s">
        <v>1487</v>
      </c>
      <c r="F124" s="22" t="s">
        <v>341</v>
      </c>
      <c r="G124" s="10" t="s">
        <v>44</v>
      </c>
      <c r="H124" s="9" t="s">
        <v>44</v>
      </c>
      <c r="I124" s="10" t="s">
        <v>74</v>
      </c>
      <c r="J124" s="10"/>
      <c r="K124" s="9" t="s">
        <v>36</v>
      </c>
      <c r="L124" s="9" t="s">
        <v>109</v>
      </c>
      <c r="M124" s="10" t="s">
        <v>42</v>
      </c>
      <c r="N124" s="10"/>
      <c r="O124" s="9" t="s">
        <v>48</v>
      </c>
      <c r="P124" s="9" t="s">
        <v>56</v>
      </c>
      <c r="Q124" s="9" t="s">
        <v>74</v>
      </c>
      <c r="R124" s="10"/>
      <c r="S124" s="9">
        <v>595</v>
      </c>
      <c r="T124" s="9" t="str">
        <f>"371,1610"</f>
        <v>371,1610</v>
      </c>
      <c r="U124" s="9" t="s">
        <v>343</v>
      </c>
    </row>
    <row r="125" spans="1:21" ht="12.75">
      <c r="A125" s="9" t="s">
        <v>469</v>
      </c>
      <c r="B125" s="9" t="s">
        <v>470</v>
      </c>
      <c r="C125" s="9" t="s">
        <v>471</v>
      </c>
      <c r="D125" s="21" t="str">
        <f>"0,6161"</f>
        <v>0,6161</v>
      </c>
      <c r="E125" s="9" t="s">
        <v>1488</v>
      </c>
      <c r="F125" s="22" t="s">
        <v>1506</v>
      </c>
      <c r="G125" s="9" t="s">
        <v>25</v>
      </c>
      <c r="H125" s="9" t="s">
        <v>33</v>
      </c>
      <c r="I125" s="9" t="s">
        <v>35</v>
      </c>
      <c r="J125" s="10"/>
      <c r="K125" s="9" t="s">
        <v>24</v>
      </c>
      <c r="L125" s="9" t="s">
        <v>30</v>
      </c>
      <c r="M125" s="10" t="s">
        <v>25</v>
      </c>
      <c r="N125" s="10"/>
      <c r="O125" s="9" t="s">
        <v>42</v>
      </c>
      <c r="P125" s="9" t="s">
        <v>43</v>
      </c>
      <c r="Q125" s="9" t="s">
        <v>283</v>
      </c>
      <c r="R125" s="10"/>
      <c r="S125" s="9">
        <v>470</v>
      </c>
      <c r="T125" s="9" t="str">
        <f>"289,5670"</f>
        <v>289,5670</v>
      </c>
      <c r="U125" s="9" t="s">
        <v>27</v>
      </c>
    </row>
    <row r="126" spans="1:21" ht="12.75">
      <c r="A126" s="9" t="s">
        <v>472</v>
      </c>
      <c r="B126" s="9" t="s">
        <v>473</v>
      </c>
      <c r="C126" s="9" t="s">
        <v>474</v>
      </c>
      <c r="D126" s="21" t="str">
        <f>"0,6126"</f>
        <v>0,6126</v>
      </c>
      <c r="E126" s="9" t="s">
        <v>16</v>
      </c>
      <c r="F126" s="22" t="s">
        <v>118</v>
      </c>
      <c r="G126" s="10" t="s">
        <v>42</v>
      </c>
      <c r="H126" s="10" t="s">
        <v>42</v>
      </c>
      <c r="I126" s="9" t="s">
        <v>42</v>
      </c>
      <c r="J126" s="10"/>
      <c r="K126" s="9" t="s">
        <v>17</v>
      </c>
      <c r="L126" s="10" t="s">
        <v>18</v>
      </c>
      <c r="M126" s="10" t="s">
        <v>18</v>
      </c>
      <c r="N126" s="10"/>
      <c r="O126" s="10" t="s">
        <v>43</v>
      </c>
      <c r="P126" s="9" t="s">
        <v>43</v>
      </c>
      <c r="Q126" s="10" t="s">
        <v>44</v>
      </c>
      <c r="R126" s="10"/>
      <c r="S126" s="9">
        <v>450</v>
      </c>
      <c r="T126" s="9" t="str">
        <f>"275,6700"</f>
        <v>275,6700</v>
      </c>
      <c r="U126" s="9" t="s">
        <v>475</v>
      </c>
    </row>
    <row r="127" spans="1:21" ht="12.75">
      <c r="A127" s="9" t="s">
        <v>480</v>
      </c>
      <c r="B127" s="9" t="s">
        <v>481</v>
      </c>
      <c r="C127" s="9" t="s">
        <v>482</v>
      </c>
      <c r="D127" s="21" t="str">
        <f>"0,6113"</f>
        <v>0,6113</v>
      </c>
      <c r="E127" s="9" t="s">
        <v>1485</v>
      </c>
      <c r="F127" s="22" t="s">
        <v>1496</v>
      </c>
      <c r="G127" s="10" t="s">
        <v>121</v>
      </c>
      <c r="H127" s="10" t="s">
        <v>121</v>
      </c>
      <c r="I127" s="10" t="s">
        <v>121</v>
      </c>
      <c r="J127" s="10"/>
      <c r="K127" s="10" t="s">
        <v>25</v>
      </c>
      <c r="L127" s="10"/>
      <c r="M127" s="10"/>
      <c r="N127" s="10"/>
      <c r="O127" s="10" t="s">
        <v>56</v>
      </c>
      <c r="P127" s="10"/>
      <c r="Q127" s="10"/>
      <c r="R127" s="10"/>
      <c r="S127" s="9">
        <v>0</v>
      </c>
      <c r="T127" s="9" t="str">
        <f>"0,0000"</f>
        <v>0,0000</v>
      </c>
      <c r="U127" s="9" t="s">
        <v>27</v>
      </c>
    </row>
    <row r="128" spans="1:21" ht="12.75">
      <c r="A128" s="9" t="s">
        <v>483</v>
      </c>
      <c r="B128" s="9" t="s">
        <v>484</v>
      </c>
      <c r="C128" s="9" t="s">
        <v>462</v>
      </c>
      <c r="D128" s="21" t="str">
        <f>"0,6086"</f>
        <v>0,6086</v>
      </c>
      <c r="E128" s="9" t="s">
        <v>16</v>
      </c>
      <c r="F128" s="22" t="s">
        <v>1507</v>
      </c>
      <c r="G128" s="10" t="s">
        <v>485</v>
      </c>
      <c r="H128" s="10"/>
      <c r="I128" s="10"/>
      <c r="J128" s="10"/>
      <c r="K128" s="10" t="s">
        <v>48</v>
      </c>
      <c r="L128" s="10"/>
      <c r="M128" s="10"/>
      <c r="N128" s="10"/>
      <c r="O128" s="10" t="s">
        <v>103</v>
      </c>
      <c r="P128" s="10"/>
      <c r="Q128" s="10"/>
      <c r="R128" s="10"/>
      <c r="S128" s="9">
        <v>0</v>
      </c>
      <c r="T128" s="9" t="str">
        <f>"0,0000"</f>
        <v>0,0000</v>
      </c>
      <c r="U128" s="9" t="s">
        <v>27</v>
      </c>
    </row>
    <row r="129" spans="1:21" ht="12.75">
      <c r="A129" s="9" t="s">
        <v>455</v>
      </c>
      <c r="B129" s="9" t="s">
        <v>488</v>
      </c>
      <c r="C129" s="9" t="s">
        <v>457</v>
      </c>
      <c r="D129" s="21" t="str">
        <f>"0,6169"</f>
        <v>0,6169</v>
      </c>
      <c r="E129" s="9" t="s">
        <v>23</v>
      </c>
      <c r="F129" s="22" t="s">
        <v>458</v>
      </c>
      <c r="G129" s="10" t="s">
        <v>74</v>
      </c>
      <c r="H129" s="9" t="s">
        <v>74</v>
      </c>
      <c r="I129" s="9" t="s">
        <v>63</v>
      </c>
      <c r="J129" s="10"/>
      <c r="K129" s="9" t="s">
        <v>33</v>
      </c>
      <c r="L129" s="9" t="s">
        <v>35</v>
      </c>
      <c r="M129" s="10" t="s">
        <v>59</v>
      </c>
      <c r="N129" s="10"/>
      <c r="O129" s="9" t="s">
        <v>74</v>
      </c>
      <c r="P129" s="9" t="s">
        <v>63</v>
      </c>
      <c r="Q129" s="9" t="s">
        <v>77</v>
      </c>
      <c r="R129" s="10"/>
      <c r="S129" s="9">
        <v>660</v>
      </c>
      <c r="T129" s="9" t="str">
        <f>"412,8542"</f>
        <v>412,8542</v>
      </c>
      <c r="U129" s="9" t="s">
        <v>27</v>
      </c>
    </row>
    <row r="130" spans="1:21" ht="12.75">
      <c r="A130" s="9" t="s">
        <v>489</v>
      </c>
      <c r="B130" s="9" t="s">
        <v>490</v>
      </c>
      <c r="C130" s="9" t="s">
        <v>462</v>
      </c>
      <c r="D130" s="21" t="str">
        <f>"0,6086"</f>
        <v>0,6086</v>
      </c>
      <c r="E130" s="9" t="s">
        <v>16</v>
      </c>
      <c r="F130" s="22" t="s">
        <v>126</v>
      </c>
      <c r="G130" s="10" t="s">
        <v>68</v>
      </c>
      <c r="H130" s="9" t="s">
        <v>68</v>
      </c>
      <c r="I130" s="9" t="s">
        <v>63</v>
      </c>
      <c r="J130" s="10"/>
      <c r="K130" s="9" t="s">
        <v>33</v>
      </c>
      <c r="L130" s="9" t="s">
        <v>189</v>
      </c>
      <c r="M130" s="9" t="s">
        <v>410</v>
      </c>
      <c r="N130" s="10"/>
      <c r="O130" s="9" t="s">
        <v>65</v>
      </c>
      <c r="P130" s="9" t="s">
        <v>67</v>
      </c>
      <c r="Q130" s="10" t="s">
        <v>77</v>
      </c>
      <c r="R130" s="10"/>
      <c r="S130" s="9">
        <v>655</v>
      </c>
      <c r="T130" s="9" t="str">
        <f>"400,6262"</f>
        <v>400,6262</v>
      </c>
      <c r="U130" s="9" t="s">
        <v>491</v>
      </c>
    </row>
    <row r="131" spans="1:21" ht="12.75">
      <c r="A131" s="9" t="s">
        <v>492</v>
      </c>
      <c r="B131" s="9" t="s">
        <v>493</v>
      </c>
      <c r="C131" s="9" t="s">
        <v>494</v>
      </c>
      <c r="D131" s="21" t="str">
        <f>"0,6123"</f>
        <v>0,6123</v>
      </c>
      <c r="E131" s="9" t="s">
        <v>16</v>
      </c>
      <c r="F131" s="22" t="s">
        <v>1492</v>
      </c>
      <c r="G131" s="10" t="s">
        <v>48</v>
      </c>
      <c r="H131" s="10" t="s">
        <v>48</v>
      </c>
      <c r="I131" s="9" t="s">
        <v>48</v>
      </c>
      <c r="J131" s="10"/>
      <c r="K131" s="9" t="s">
        <v>24</v>
      </c>
      <c r="L131" s="10" t="s">
        <v>216</v>
      </c>
      <c r="M131" s="9" t="s">
        <v>216</v>
      </c>
      <c r="N131" s="10"/>
      <c r="O131" s="9" t="s">
        <v>43</v>
      </c>
      <c r="P131" s="9" t="s">
        <v>342</v>
      </c>
      <c r="Q131" s="10" t="s">
        <v>44</v>
      </c>
      <c r="R131" s="10"/>
      <c r="S131" s="9">
        <v>510</v>
      </c>
      <c r="T131" s="9" t="str">
        <f>"312,2730"</f>
        <v>312,2730</v>
      </c>
      <c r="U131" s="9" t="s">
        <v>27</v>
      </c>
    </row>
    <row r="132" spans="1:21" ht="12.75">
      <c r="A132" s="9" t="s">
        <v>455</v>
      </c>
      <c r="B132" s="9" t="s">
        <v>488</v>
      </c>
      <c r="C132" s="9" t="s">
        <v>457</v>
      </c>
      <c r="D132" s="21" t="str">
        <f>"0,6169"</f>
        <v>0,6169</v>
      </c>
      <c r="E132" s="9" t="s">
        <v>1485</v>
      </c>
      <c r="F132" s="22" t="s">
        <v>458</v>
      </c>
      <c r="G132" s="10" t="s">
        <v>74</v>
      </c>
      <c r="H132" s="9" t="s">
        <v>74</v>
      </c>
      <c r="I132" s="9" t="s">
        <v>63</v>
      </c>
      <c r="J132" s="10"/>
      <c r="K132" s="9" t="s">
        <v>33</v>
      </c>
      <c r="L132" s="9" t="s">
        <v>35</v>
      </c>
      <c r="M132" s="10" t="s">
        <v>59</v>
      </c>
      <c r="N132" s="10"/>
      <c r="O132" s="10" t="s">
        <v>82</v>
      </c>
      <c r="P132" s="10" t="s">
        <v>82</v>
      </c>
      <c r="Q132" s="10" t="s">
        <v>82</v>
      </c>
      <c r="R132" s="10"/>
      <c r="S132" s="9">
        <v>0</v>
      </c>
      <c r="T132" s="9" t="str">
        <f>"0,0000"</f>
        <v>0,0000</v>
      </c>
      <c r="U132" s="9" t="s">
        <v>27</v>
      </c>
    </row>
    <row r="133" spans="1:21" ht="12.75">
      <c r="A133" s="9" t="s">
        <v>495</v>
      </c>
      <c r="B133" s="9" t="s">
        <v>496</v>
      </c>
      <c r="C133" s="9" t="s">
        <v>497</v>
      </c>
      <c r="D133" s="21" t="str">
        <f>"0,6091"</f>
        <v>0,6091</v>
      </c>
      <c r="E133" s="9" t="s">
        <v>23</v>
      </c>
      <c r="F133" s="22" t="s">
        <v>1496</v>
      </c>
      <c r="G133" s="10" t="s">
        <v>59</v>
      </c>
      <c r="H133" s="9" t="s">
        <v>43</v>
      </c>
      <c r="I133" s="9" t="s">
        <v>48</v>
      </c>
      <c r="J133" s="10"/>
      <c r="K133" s="9" t="s">
        <v>35</v>
      </c>
      <c r="L133" s="9" t="s">
        <v>36</v>
      </c>
      <c r="M133" s="10"/>
      <c r="N133" s="10"/>
      <c r="O133" s="9" t="s">
        <v>43</v>
      </c>
      <c r="P133" s="9" t="s">
        <v>48</v>
      </c>
      <c r="Q133" s="9" t="s">
        <v>44</v>
      </c>
      <c r="R133" s="10"/>
      <c r="S133" s="9">
        <v>545</v>
      </c>
      <c r="T133" s="9" t="str">
        <f>"394,0359"</f>
        <v>394,0359</v>
      </c>
      <c r="U133" s="9" t="s">
        <v>1521</v>
      </c>
    </row>
    <row r="134" spans="1:21" ht="12.75">
      <c r="A134" s="9" t="s">
        <v>498</v>
      </c>
      <c r="B134" s="9" t="s">
        <v>499</v>
      </c>
      <c r="C134" s="9" t="s">
        <v>457</v>
      </c>
      <c r="D134" s="21" t="str">
        <f>"0,6169"</f>
        <v>0,6169</v>
      </c>
      <c r="E134" s="9" t="s">
        <v>16</v>
      </c>
      <c r="F134" s="22" t="s">
        <v>1492</v>
      </c>
      <c r="G134" s="9" t="s">
        <v>42</v>
      </c>
      <c r="H134" s="9" t="s">
        <v>43</v>
      </c>
      <c r="I134" s="9" t="s">
        <v>121</v>
      </c>
      <c r="J134" s="10"/>
      <c r="K134" s="9" t="s">
        <v>33</v>
      </c>
      <c r="L134" s="9" t="s">
        <v>38</v>
      </c>
      <c r="M134" s="10" t="s">
        <v>36</v>
      </c>
      <c r="N134" s="10"/>
      <c r="O134" s="9" t="s">
        <v>43</v>
      </c>
      <c r="P134" s="9" t="s">
        <v>48</v>
      </c>
      <c r="Q134" s="9" t="s">
        <v>44</v>
      </c>
      <c r="R134" s="10"/>
      <c r="S134" s="9">
        <v>530</v>
      </c>
      <c r="T134" s="9" t="str">
        <f>"394,6371"</f>
        <v>394,6371</v>
      </c>
      <c r="U134" s="9" t="s">
        <v>1522</v>
      </c>
    </row>
    <row r="135" spans="1:21" ht="12.75">
      <c r="A135" s="9" t="s">
        <v>500</v>
      </c>
      <c r="B135" s="9" t="s">
        <v>501</v>
      </c>
      <c r="C135" s="9" t="s">
        <v>502</v>
      </c>
      <c r="D135" s="21" t="str">
        <f>"0,6106"</f>
        <v>0,6106</v>
      </c>
      <c r="E135" s="9" t="s">
        <v>1485</v>
      </c>
      <c r="F135" s="22" t="s">
        <v>1496</v>
      </c>
      <c r="G135" s="9" t="s">
        <v>24</v>
      </c>
      <c r="H135" s="10" t="s">
        <v>33</v>
      </c>
      <c r="I135" s="9" t="s">
        <v>33</v>
      </c>
      <c r="J135" s="10"/>
      <c r="K135" s="9" t="s">
        <v>36</v>
      </c>
      <c r="L135" s="9" t="s">
        <v>123</v>
      </c>
      <c r="M135" s="10" t="s">
        <v>301</v>
      </c>
      <c r="N135" s="10"/>
      <c r="O135" s="9" t="s">
        <v>25</v>
      </c>
      <c r="P135" s="9" t="s">
        <v>35</v>
      </c>
      <c r="Q135" s="9" t="s">
        <v>59</v>
      </c>
      <c r="R135" s="10"/>
      <c r="S135" s="9">
        <v>462.5</v>
      </c>
      <c r="T135" s="9" t="str">
        <f>"335,2118"</f>
        <v>335,2118</v>
      </c>
      <c r="U135" s="9" t="s">
        <v>27</v>
      </c>
    </row>
    <row r="136" spans="1:21" ht="12.75">
      <c r="A136" s="11" t="s">
        <v>503</v>
      </c>
      <c r="B136" s="11" t="s">
        <v>504</v>
      </c>
      <c r="C136" s="11" t="s">
        <v>133</v>
      </c>
      <c r="D136" s="24" t="str">
        <f>"0,6229"</f>
        <v>0,6229</v>
      </c>
      <c r="E136" s="11" t="s">
        <v>16</v>
      </c>
      <c r="F136" s="26" t="s">
        <v>87</v>
      </c>
      <c r="G136" s="11" t="s">
        <v>42</v>
      </c>
      <c r="H136" s="12" t="s">
        <v>48</v>
      </c>
      <c r="I136" s="12" t="s">
        <v>44</v>
      </c>
      <c r="J136" s="12"/>
      <c r="K136" s="11" t="s">
        <v>17</v>
      </c>
      <c r="L136" s="11" t="s">
        <v>110</v>
      </c>
      <c r="M136" s="12" t="s">
        <v>20</v>
      </c>
      <c r="N136" s="12"/>
      <c r="O136" s="11" t="s">
        <v>44</v>
      </c>
      <c r="P136" s="11" t="s">
        <v>56</v>
      </c>
      <c r="Q136" s="11" t="s">
        <v>370</v>
      </c>
      <c r="R136" s="12"/>
      <c r="S136" s="11">
        <v>492.5</v>
      </c>
      <c r="T136" s="11" t="str">
        <f>"582,8787"</f>
        <v>582,8787</v>
      </c>
      <c r="U136" s="11" t="s">
        <v>27</v>
      </c>
    </row>
    <row r="138" spans="1:20" ht="15">
      <c r="A138" s="116" t="s">
        <v>136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</row>
    <row r="139" spans="1:21" ht="12.75">
      <c r="A139" s="7" t="s">
        <v>505</v>
      </c>
      <c r="B139" s="7" t="s">
        <v>506</v>
      </c>
      <c r="C139" s="7" t="s">
        <v>507</v>
      </c>
      <c r="D139" s="7" t="str">
        <f>"0,5926"</f>
        <v>0,5926</v>
      </c>
      <c r="E139" s="7" t="s">
        <v>1488</v>
      </c>
      <c r="F139" s="7" t="s">
        <v>1506</v>
      </c>
      <c r="G139" s="7" t="s">
        <v>57</v>
      </c>
      <c r="H139" s="8" t="s">
        <v>74</v>
      </c>
      <c r="I139" s="8" t="s">
        <v>68</v>
      </c>
      <c r="J139" s="8"/>
      <c r="K139" s="7" t="s">
        <v>25</v>
      </c>
      <c r="L139" s="7" t="s">
        <v>33</v>
      </c>
      <c r="M139" s="7" t="s">
        <v>35</v>
      </c>
      <c r="N139" s="8" t="s">
        <v>330</v>
      </c>
      <c r="O139" s="7" t="s">
        <v>56</v>
      </c>
      <c r="P139" s="8" t="s">
        <v>57</v>
      </c>
      <c r="Q139" s="7" t="s">
        <v>57</v>
      </c>
      <c r="R139" s="8" t="s">
        <v>508</v>
      </c>
      <c r="S139" s="7">
        <v>590</v>
      </c>
      <c r="T139" s="7" t="str">
        <f>"349,6340"</f>
        <v>349,6340</v>
      </c>
      <c r="U139" s="7" t="s">
        <v>509</v>
      </c>
    </row>
    <row r="140" spans="1:21" ht="12.75">
      <c r="A140" s="9" t="s">
        <v>510</v>
      </c>
      <c r="B140" s="9" t="s">
        <v>511</v>
      </c>
      <c r="C140" s="9" t="s">
        <v>512</v>
      </c>
      <c r="D140" s="9" t="str">
        <f>"0,5941"</f>
        <v>0,5941</v>
      </c>
      <c r="E140" s="9" t="s">
        <v>16</v>
      </c>
      <c r="F140" s="9" t="s">
        <v>47</v>
      </c>
      <c r="G140" s="10" t="s">
        <v>103</v>
      </c>
      <c r="H140" s="9" t="s">
        <v>103</v>
      </c>
      <c r="I140" s="9" t="s">
        <v>513</v>
      </c>
      <c r="J140" s="10"/>
      <c r="K140" s="9" t="s">
        <v>43</v>
      </c>
      <c r="L140" s="9" t="s">
        <v>48</v>
      </c>
      <c r="M140" s="10" t="s">
        <v>309</v>
      </c>
      <c r="N140" s="10"/>
      <c r="O140" s="9" t="s">
        <v>83</v>
      </c>
      <c r="P140" s="10" t="s">
        <v>115</v>
      </c>
      <c r="Q140" s="10" t="s">
        <v>115</v>
      </c>
      <c r="R140" s="10"/>
      <c r="S140" s="9">
        <v>765</v>
      </c>
      <c r="T140" s="9" t="str">
        <f>"454,4865"</f>
        <v>454,4865</v>
      </c>
      <c r="U140" s="9" t="s">
        <v>1523</v>
      </c>
    </row>
    <row r="141" spans="1:21" ht="12.75">
      <c r="A141" s="9" t="s">
        <v>514</v>
      </c>
      <c r="B141" s="9" t="s">
        <v>515</v>
      </c>
      <c r="C141" s="9" t="s">
        <v>516</v>
      </c>
      <c r="D141" s="9" t="str">
        <f>"0,6015"</f>
        <v>0,6015</v>
      </c>
      <c r="E141" s="9" t="s">
        <v>16</v>
      </c>
      <c r="F141" s="9" t="s">
        <v>517</v>
      </c>
      <c r="G141" s="9" t="s">
        <v>63</v>
      </c>
      <c r="H141" s="10" t="s">
        <v>80</v>
      </c>
      <c r="I141" s="9" t="s">
        <v>80</v>
      </c>
      <c r="J141" s="10"/>
      <c r="K141" s="10" t="s">
        <v>48</v>
      </c>
      <c r="L141" s="9" t="s">
        <v>283</v>
      </c>
      <c r="M141" s="9" t="s">
        <v>284</v>
      </c>
      <c r="N141" s="10"/>
      <c r="O141" s="9" t="s">
        <v>74</v>
      </c>
      <c r="P141" s="9" t="s">
        <v>65</v>
      </c>
      <c r="Q141" s="9" t="s">
        <v>79</v>
      </c>
      <c r="R141" s="10"/>
      <c r="S141" s="9">
        <v>710</v>
      </c>
      <c r="T141" s="9" t="str">
        <f>"427,0650"</f>
        <v>427,0650</v>
      </c>
      <c r="U141" s="9" t="s">
        <v>27</v>
      </c>
    </row>
    <row r="142" spans="1:21" ht="12.75">
      <c r="A142" s="9" t="s">
        <v>518</v>
      </c>
      <c r="B142" s="9" t="s">
        <v>519</v>
      </c>
      <c r="C142" s="9" t="s">
        <v>520</v>
      </c>
      <c r="D142" s="9" t="str">
        <f>"0,5914"</f>
        <v>0,5914</v>
      </c>
      <c r="E142" s="9" t="s">
        <v>16</v>
      </c>
      <c r="F142" s="9" t="s">
        <v>521</v>
      </c>
      <c r="G142" s="9" t="s">
        <v>74</v>
      </c>
      <c r="H142" s="9" t="s">
        <v>79</v>
      </c>
      <c r="I142" s="9" t="s">
        <v>72</v>
      </c>
      <c r="J142" s="10"/>
      <c r="K142" s="10" t="s">
        <v>36</v>
      </c>
      <c r="L142" s="9" t="s">
        <v>36</v>
      </c>
      <c r="M142" s="10" t="s">
        <v>109</v>
      </c>
      <c r="N142" s="10"/>
      <c r="O142" s="9" t="s">
        <v>77</v>
      </c>
      <c r="P142" s="10" t="s">
        <v>83</v>
      </c>
      <c r="Q142" s="10" t="s">
        <v>83</v>
      </c>
      <c r="R142" s="10"/>
      <c r="S142" s="9">
        <v>670</v>
      </c>
      <c r="T142" s="9" t="str">
        <f>"396,2380"</f>
        <v>396,2380</v>
      </c>
      <c r="U142" s="9" t="s">
        <v>27</v>
      </c>
    </row>
    <row r="143" spans="1:21" ht="12.75">
      <c r="A143" s="9" t="s">
        <v>522</v>
      </c>
      <c r="B143" s="9" t="s">
        <v>523</v>
      </c>
      <c r="C143" s="9" t="s">
        <v>512</v>
      </c>
      <c r="D143" s="9" t="str">
        <f>"0,5941"</f>
        <v>0,5941</v>
      </c>
      <c r="E143" s="9" t="s">
        <v>16</v>
      </c>
      <c r="F143" s="9" t="s">
        <v>524</v>
      </c>
      <c r="G143" s="9" t="s">
        <v>57</v>
      </c>
      <c r="H143" s="10" t="s">
        <v>68</v>
      </c>
      <c r="I143" s="9" t="s">
        <v>68</v>
      </c>
      <c r="J143" s="10"/>
      <c r="K143" s="9" t="s">
        <v>38</v>
      </c>
      <c r="L143" s="9" t="s">
        <v>330</v>
      </c>
      <c r="M143" s="10" t="s">
        <v>109</v>
      </c>
      <c r="N143" s="10"/>
      <c r="O143" s="9" t="s">
        <v>57</v>
      </c>
      <c r="P143" s="9" t="s">
        <v>68</v>
      </c>
      <c r="Q143" s="9" t="s">
        <v>65</v>
      </c>
      <c r="R143" s="10"/>
      <c r="S143" s="9">
        <v>632.5</v>
      </c>
      <c r="T143" s="9" t="str">
        <f>"375,7682"</f>
        <v>375,7682</v>
      </c>
      <c r="U143" s="9" t="s">
        <v>525</v>
      </c>
    </row>
    <row r="144" spans="1:21" ht="12.75">
      <c r="A144" s="9" t="s">
        <v>526</v>
      </c>
      <c r="B144" s="9" t="s">
        <v>527</v>
      </c>
      <c r="C144" s="9" t="s">
        <v>528</v>
      </c>
      <c r="D144" s="9" t="str">
        <f>"0,5966"</f>
        <v>0,5966</v>
      </c>
      <c r="E144" s="9" t="s">
        <v>16</v>
      </c>
      <c r="F144" s="9" t="s">
        <v>529</v>
      </c>
      <c r="G144" s="9" t="s">
        <v>48</v>
      </c>
      <c r="H144" s="9" t="s">
        <v>44</v>
      </c>
      <c r="I144" s="10" t="s">
        <v>56</v>
      </c>
      <c r="J144" s="10"/>
      <c r="K144" s="9" t="s">
        <v>33</v>
      </c>
      <c r="L144" s="9" t="s">
        <v>36</v>
      </c>
      <c r="M144" s="10" t="s">
        <v>123</v>
      </c>
      <c r="N144" s="10"/>
      <c r="O144" s="9" t="s">
        <v>113</v>
      </c>
      <c r="P144" s="9" t="s">
        <v>68</v>
      </c>
      <c r="Q144" s="10" t="s">
        <v>66</v>
      </c>
      <c r="R144" s="10"/>
      <c r="S144" s="9">
        <v>590</v>
      </c>
      <c r="T144" s="9" t="str">
        <f>"351,9940"</f>
        <v>351,9940</v>
      </c>
      <c r="U144" s="9" t="s">
        <v>27</v>
      </c>
    </row>
    <row r="145" spans="1:21" ht="12.75">
      <c r="A145" s="9" t="s">
        <v>530</v>
      </c>
      <c r="B145" s="9" t="s">
        <v>531</v>
      </c>
      <c r="C145" s="9" t="s">
        <v>532</v>
      </c>
      <c r="D145" s="9" t="str">
        <f>"0,6067"</f>
        <v>0,6067</v>
      </c>
      <c r="E145" s="9" t="s">
        <v>16</v>
      </c>
      <c r="F145" s="9" t="s">
        <v>1498</v>
      </c>
      <c r="G145" s="9" t="s">
        <v>35</v>
      </c>
      <c r="H145" s="9" t="s">
        <v>42</v>
      </c>
      <c r="I145" s="9" t="s">
        <v>48</v>
      </c>
      <c r="J145" s="10"/>
      <c r="K145" s="9" t="s">
        <v>25</v>
      </c>
      <c r="L145" s="9" t="s">
        <v>308</v>
      </c>
      <c r="M145" s="9" t="s">
        <v>130</v>
      </c>
      <c r="N145" s="10"/>
      <c r="O145" s="9" t="s">
        <v>43</v>
      </c>
      <c r="P145" s="9" t="s">
        <v>56</v>
      </c>
      <c r="Q145" s="9" t="s">
        <v>113</v>
      </c>
      <c r="R145" s="10"/>
      <c r="S145" s="9">
        <v>557.5</v>
      </c>
      <c r="T145" s="9" t="str">
        <f>"358,5294"</f>
        <v>358,5294</v>
      </c>
      <c r="U145" s="9" t="s">
        <v>27</v>
      </c>
    </row>
    <row r="146" spans="1:21" ht="12.75">
      <c r="A146" s="9" t="s">
        <v>533</v>
      </c>
      <c r="B146" s="9" t="s">
        <v>534</v>
      </c>
      <c r="C146" s="9" t="s">
        <v>535</v>
      </c>
      <c r="D146" s="9" t="str">
        <f>"0,6081"</f>
        <v>0,6081</v>
      </c>
      <c r="E146" s="9" t="s">
        <v>16</v>
      </c>
      <c r="F146" s="9" t="s">
        <v>1501</v>
      </c>
      <c r="G146" s="9" t="s">
        <v>33</v>
      </c>
      <c r="H146" s="9" t="s">
        <v>42</v>
      </c>
      <c r="I146" s="10" t="s">
        <v>536</v>
      </c>
      <c r="J146" s="10"/>
      <c r="K146" s="9" t="s">
        <v>17</v>
      </c>
      <c r="L146" s="9" t="s">
        <v>18</v>
      </c>
      <c r="M146" s="9" t="s">
        <v>30</v>
      </c>
      <c r="N146" s="10"/>
      <c r="O146" s="9" t="s">
        <v>537</v>
      </c>
      <c r="P146" s="9" t="s">
        <v>56</v>
      </c>
      <c r="Q146" s="10" t="s">
        <v>352</v>
      </c>
      <c r="R146" s="10"/>
      <c r="S146" s="9">
        <v>505</v>
      </c>
      <c r="T146" s="9" t="str">
        <f>"308,6260"</f>
        <v>308,6260</v>
      </c>
      <c r="U146" s="9" t="s">
        <v>27</v>
      </c>
    </row>
    <row r="147" spans="1:21" ht="12.75">
      <c r="A147" s="11" t="s">
        <v>538</v>
      </c>
      <c r="B147" s="11" t="s">
        <v>539</v>
      </c>
      <c r="C147" s="11" t="s">
        <v>540</v>
      </c>
      <c r="D147" s="11" t="str">
        <f>"0,5897"</f>
        <v>0,5897</v>
      </c>
      <c r="E147" s="11" t="s">
        <v>16</v>
      </c>
      <c r="F147" s="11" t="s">
        <v>541</v>
      </c>
      <c r="G147" s="11" t="s">
        <v>48</v>
      </c>
      <c r="H147" s="11" t="s">
        <v>113</v>
      </c>
      <c r="I147" s="11" t="s">
        <v>68</v>
      </c>
      <c r="J147" s="12"/>
      <c r="K147" s="11" t="s">
        <v>216</v>
      </c>
      <c r="L147" s="12"/>
      <c r="M147" s="12"/>
      <c r="N147" s="12"/>
      <c r="O147" s="11" t="s">
        <v>88</v>
      </c>
      <c r="P147" s="11" t="s">
        <v>63</v>
      </c>
      <c r="Q147" s="11" t="s">
        <v>80</v>
      </c>
      <c r="R147" s="12"/>
      <c r="S147" s="11">
        <v>625</v>
      </c>
      <c r="T147" s="11" t="str">
        <f>"452,5947"</f>
        <v>452,5947</v>
      </c>
      <c r="U147" s="11" t="s">
        <v>27</v>
      </c>
    </row>
    <row r="149" spans="1:20" ht="15">
      <c r="A149" s="116" t="s">
        <v>138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</row>
    <row r="150" spans="1:21" ht="12.75">
      <c r="A150" s="7" t="s">
        <v>542</v>
      </c>
      <c r="B150" s="7" t="s">
        <v>543</v>
      </c>
      <c r="C150" s="7" t="s">
        <v>544</v>
      </c>
      <c r="D150" s="7" t="str">
        <f>"0,5785"</f>
        <v>0,5785</v>
      </c>
      <c r="E150" s="7" t="s">
        <v>1489</v>
      </c>
      <c r="F150" s="7" t="s">
        <v>1508</v>
      </c>
      <c r="G150" s="8" t="s">
        <v>44</v>
      </c>
      <c r="H150" s="7" t="s">
        <v>44</v>
      </c>
      <c r="I150" s="8" t="s">
        <v>56</v>
      </c>
      <c r="J150" s="8"/>
      <c r="K150" s="7" t="s">
        <v>58</v>
      </c>
      <c r="L150" s="7" t="s">
        <v>33</v>
      </c>
      <c r="M150" s="8" t="s">
        <v>38</v>
      </c>
      <c r="N150" s="8"/>
      <c r="O150" s="7" t="s">
        <v>56</v>
      </c>
      <c r="P150" s="8" t="s">
        <v>57</v>
      </c>
      <c r="Q150" s="8" t="s">
        <v>82</v>
      </c>
      <c r="R150" s="8"/>
      <c r="S150" s="7">
        <v>550</v>
      </c>
      <c r="T150" s="7" t="str">
        <f>"318,1750"</f>
        <v>318,1750</v>
      </c>
      <c r="U150" s="7" t="s">
        <v>545</v>
      </c>
    </row>
    <row r="151" spans="1:21" ht="12.75">
      <c r="A151" s="9" t="s">
        <v>546</v>
      </c>
      <c r="B151" s="9" t="s">
        <v>547</v>
      </c>
      <c r="C151" s="9" t="s">
        <v>548</v>
      </c>
      <c r="D151" s="9" t="str">
        <f>"0,5715"</f>
        <v>0,5715</v>
      </c>
      <c r="E151" s="9" t="s">
        <v>78</v>
      </c>
      <c r="F151" s="9" t="s">
        <v>1499</v>
      </c>
      <c r="G151" s="10" t="s">
        <v>106</v>
      </c>
      <c r="H151" s="9" t="s">
        <v>549</v>
      </c>
      <c r="I151" s="10" t="s">
        <v>550</v>
      </c>
      <c r="J151" s="10"/>
      <c r="K151" s="9" t="s">
        <v>109</v>
      </c>
      <c r="L151" s="9" t="s">
        <v>43</v>
      </c>
      <c r="M151" s="10" t="s">
        <v>48</v>
      </c>
      <c r="N151" s="10"/>
      <c r="O151" s="9" t="s">
        <v>83</v>
      </c>
      <c r="P151" s="10" t="s">
        <v>106</v>
      </c>
      <c r="Q151" s="9" t="s">
        <v>551</v>
      </c>
      <c r="R151" s="10"/>
      <c r="S151" s="9">
        <v>800</v>
      </c>
      <c r="T151" s="9" t="str">
        <f>"457,2000"</f>
        <v>457,2000</v>
      </c>
      <c r="U151" s="9" t="s">
        <v>1524</v>
      </c>
    </row>
    <row r="152" spans="1:21" ht="12.75">
      <c r="A152" s="9" t="s">
        <v>552</v>
      </c>
      <c r="B152" s="9" t="s">
        <v>553</v>
      </c>
      <c r="C152" s="9" t="s">
        <v>554</v>
      </c>
      <c r="D152" s="9" t="str">
        <f>"0,5719"</f>
        <v>0,5719</v>
      </c>
      <c r="E152" s="9" t="s">
        <v>16</v>
      </c>
      <c r="F152" s="9" t="s">
        <v>1492</v>
      </c>
      <c r="G152" s="9" t="s">
        <v>72</v>
      </c>
      <c r="H152" s="9" t="s">
        <v>73</v>
      </c>
      <c r="I152" s="9" t="s">
        <v>103</v>
      </c>
      <c r="J152" s="10"/>
      <c r="K152" s="9" t="s">
        <v>35</v>
      </c>
      <c r="L152" s="9" t="s">
        <v>59</v>
      </c>
      <c r="M152" s="9" t="s">
        <v>301</v>
      </c>
      <c r="N152" s="10"/>
      <c r="O152" s="9" t="s">
        <v>65</v>
      </c>
      <c r="P152" s="9" t="s">
        <v>451</v>
      </c>
      <c r="Q152" s="9" t="s">
        <v>116</v>
      </c>
      <c r="R152" s="10"/>
      <c r="S152" s="9">
        <v>722.5</v>
      </c>
      <c r="T152" s="9" t="str">
        <f>"413,1978"</f>
        <v>413,1978</v>
      </c>
      <c r="U152" s="9" t="s">
        <v>555</v>
      </c>
    </row>
    <row r="153" spans="1:21" ht="12.75">
      <c r="A153" s="9" t="s">
        <v>556</v>
      </c>
      <c r="B153" s="9" t="s">
        <v>557</v>
      </c>
      <c r="C153" s="9" t="s">
        <v>558</v>
      </c>
      <c r="D153" s="9" t="str">
        <f>"0,5744"</f>
        <v>0,5744</v>
      </c>
      <c r="E153" s="9" t="s">
        <v>16</v>
      </c>
      <c r="F153" s="9" t="s">
        <v>1492</v>
      </c>
      <c r="G153" s="10" t="s">
        <v>390</v>
      </c>
      <c r="H153" s="10" t="s">
        <v>390</v>
      </c>
      <c r="I153" s="9" t="s">
        <v>390</v>
      </c>
      <c r="J153" s="10"/>
      <c r="K153" s="10" t="s">
        <v>42</v>
      </c>
      <c r="L153" s="9" t="s">
        <v>42</v>
      </c>
      <c r="M153" s="10" t="s">
        <v>301</v>
      </c>
      <c r="N153" s="10"/>
      <c r="O153" s="9" t="s">
        <v>63</v>
      </c>
      <c r="P153" s="9" t="s">
        <v>77</v>
      </c>
      <c r="Q153" s="10" t="s">
        <v>73</v>
      </c>
      <c r="R153" s="10"/>
      <c r="S153" s="9">
        <v>705</v>
      </c>
      <c r="T153" s="9" t="str">
        <f>"404,9520"</f>
        <v>404,9520</v>
      </c>
      <c r="U153" s="9" t="s">
        <v>27</v>
      </c>
    </row>
    <row r="154" spans="1:21" ht="12.75">
      <c r="A154" s="9" t="s">
        <v>559</v>
      </c>
      <c r="B154" s="9" t="s">
        <v>560</v>
      </c>
      <c r="C154" s="9" t="s">
        <v>561</v>
      </c>
      <c r="D154" s="9" t="str">
        <f>"0,5878"</f>
        <v>0,5878</v>
      </c>
      <c r="E154" s="9" t="s">
        <v>16</v>
      </c>
      <c r="F154" s="9" t="s">
        <v>1492</v>
      </c>
      <c r="G154" s="9" t="s">
        <v>68</v>
      </c>
      <c r="H154" s="10" t="s">
        <v>63</v>
      </c>
      <c r="I154" s="10" t="s">
        <v>63</v>
      </c>
      <c r="J154" s="10"/>
      <c r="K154" s="9" t="s">
        <v>43</v>
      </c>
      <c r="L154" s="9" t="s">
        <v>48</v>
      </c>
      <c r="M154" s="10" t="s">
        <v>342</v>
      </c>
      <c r="N154" s="10"/>
      <c r="O154" s="9" t="s">
        <v>63</v>
      </c>
      <c r="P154" s="10" t="s">
        <v>77</v>
      </c>
      <c r="Q154" s="9" t="s">
        <v>77</v>
      </c>
      <c r="R154" s="10"/>
      <c r="S154" s="9">
        <v>685</v>
      </c>
      <c r="T154" s="9" t="str">
        <f>"402,6430"</f>
        <v>402,6430</v>
      </c>
      <c r="U154" s="9" t="s">
        <v>174</v>
      </c>
    </row>
    <row r="155" spans="1:21" ht="12.75">
      <c r="A155" s="9" t="s">
        <v>562</v>
      </c>
      <c r="B155" s="9" t="s">
        <v>563</v>
      </c>
      <c r="C155" s="9" t="s">
        <v>564</v>
      </c>
      <c r="D155" s="9" t="str">
        <f>"0,5817"</f>
        <v>0,5817</v>
      </c>
      <c r="E155" s="9" t="s">
        <v>16</v>
      </c>
      <c r="F155" s="9" t="s">
        <v>565</v>
      </c>
      <c r="G155" s="10" t="s">
        <v>65</v>
      </c>
      <c r="H155" s="10" t="s">
        <v>65</v>
      </c>
      <c r="I155" s="10" t="s">
        <v>63</v>
      </c>
      <c r="J155" s="10"/>
      <c r="K155" s="10" t="s">
        <v>33</v>
      </c>
      <c r="L155" s="10"/>
      <c r="M155" s="10"/>
      <c r="N155" s="10"/>
      <c r="O155" s="10" t="s">
        <v>57</v>
      </c>
      <c r="P155" s="10"/>
      <c r="Q155" s="10"/>
      <c r="R155" s="10"/>
      <c r="S155" s="9">
        <v>0</v>
      </c>
      <c r="T155" s="9" t="str">
        <f>"0,0000"</f>
        <v>0,0000</v>
      </c>
      <c r="U155" s="9" t="s">
        <v>27</v>
      </c>
    </row>
    <row r="156" spans="1:21" ht="12.75">
      <c r="A156" s="9" t="s">
        <v>566</v>
      </c>
      <c r="B156" s="9" t="s">
        <v>567</v>
      </c>
      <c r="C156" s="9" t="s">
        <v>139</v>
      </c>
      <c r="D156" s="9" t="str">
        <f>"0,5698"</f>
        <v>0,5698</v>
      </c>
      <c r="E156" s="9" t="s">
        <v>16</v>
      </c>
      <c r="F156" s="9" t="s">
        <v>1492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9">
        <v>0</v>
      </c>
      <c r="T156" s="9" t="str">
        <f>"0,0000"</f>
        <v>0,0000</v>
      </c>
      <c r="U156" s="9" t="s">
        <v>27</v>
      </c>
    </row>
    <row r="157" spans="1:21" ht="12.75">
      <c r="A157" s="9" t="s">
        <v>568</v>
      </c>
      <c r="B157" s="9" t="s">
        <v>569</v>
      </c>
      <c r="C157" s="9" t="s">
        <v>570</v>
      </c>
      <c r="D157" s="9" t="str">
        <f>"0,5831"</f>
        <v>0,5831</v>
      </c>
      <c r="E157" s="9" t="s">
        <v>16</v>
      </c>
      <c r="F157" s="9" t="s">
        <v>571</v>
      </c>
      <c r="G157" s="9" t="s">
        <v>43</v>
      </c>
      <c r="H157" s="9" t="s">
        <v>56</v>
      </c>
      <c r="I157" s="9" t="s">
        <v>65</v>
      </c>
      <c r="J157" s="10"/>
      <c r="K157" s="9" t="s">
        <v>44</v>
      </c>
      <c r="L157" s="9" t="s">
        <v>49</v>
      </c>
      <c r="M157" s="9" t="s">
        <v>56</v>
      </c>
      <c r="N157" s="10"/>
      <c r="O157" s="10" t="s">
        <v>63</v>
      </c>
      <c r="P157" s="9" t="s">
        <v>63</v>
      </c>
      <c r="Q157" s="10" t="s">
        <v>73</v>
      </c>
      <c r="R157" s="10"/>
      <c r="S157" s="9">
        <v>700</v>
      </c>
      <c r="T157" s="9" t="str">
        <f>"408,1700"</f>
        <v>408,1700</v>
      </c>
      <c r="U157" s="9" t="s">
        <v>27</v>
      </c>
    </row>
    <row r="158" spans="1:21" ht="12.75">
      <c r="A158" s="11" t="s">
        <v>572</v>
      </c>
      <c r="B158" s="11" t="s">
        <v>573</v>
      </c>
      <c r="C158" s="11" t="s">
        <v>574</v>
      </c>
      <c r="D158" s="11" t="str">
        <f>"0,5723"</f>
        <v>0,5723</v>
      </c>
      <c r="E158" s="11" t="s">
        <v>16</v>
      </c>
      <c r="F158" s="11" t="s">
        <v>124</v>
      </c>
      <c r="G158" s="11" t="s">
        <v>121</v>
      </c>
      <c r="H158" s="12" t="s">
        <v>44</v>
      </c>
      <c r="I158" s="11" t="s">
        <v>49</v>
      </c>
      <c r="J158" s="12"/>
      <c r="K158" s="11" t="s">
        <v>38</v>
      </c>
      <c r="L158" s="11" t="s">
        <v>36</v>
      </c>
      <c r="M158" s="11" t="s">
        <v>123</v>
      </c>
      <c r="N158" s="12"/>
      <c r="O158" s="11" t="s">
        <v>65</v>
      </c>
      <c r="P158" s="11" t="s">
        <v>451</v>
      </c>
      <c r="Q158" s="12" t="s">
        <v>80</v>
      </c>
      <c r="R158" s="12"/>
      <c r="S158" s="11">
        <v>625</v>
      </c>
      <c r="T158" s="11" t="str">
        <f>"431,7288"</f>
        <v>431,7288</v>
      </c>
      <c r="U158" s="11" t="s">
        <v>575</v>
      </c>
    </row>
    <row r="160" spans="1:20" ht="15">
      <c r="A160" s="116" t="s">
        <v>576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</row>
    <row r="161" spans="1:21" ht="12.75">
      <c r="A161" s="7" t="s">
        <v>577</v>
      </c>
      <c r="B161" s="7" t="s">
        <v>578</v>
      </c>
      <c r="C161" s="7" t="s">
        <v>579</v>
      </c>
      <c r="D161" s="7" t="str">
        <f>"0,5601"</f>
        <v>0,5601</v>
      </c>
      <c r="E161" s="7" t="s">
        <v>16</v>
      </c>
      <c r="F161" s="7" t="s">
        <v>1492</v>
      </c>
      <c r="G161" s="8" t="s">
        <v>72</v>
      </c>
      <c r="H161" s="7" t="s">
        <v>72</v>
      </c>
      <c r="I161" s="8" t="s">
        <v>73</v>
      </c>
      <c r="J161" s="8"/>
      <c r="K161" s="7" t="s">
        <v>48</v>
      </c>
      <c r="L161" s="8" t="s">
        <v>309</v>
      </c>
      <c r="M161" s="8" t="s">
        <v>309</v>
      </c>
      <c r="N161" s="8"/>
      <c r="O161" s="7" t="s">
        <v>390</v>
      </c>
      <c r="P161" s="7" t="s">
        <v>447</v>
      </c>
      <c r="Q161" s="8" t="s">
        <v>580</v>
      </c>
      <c r="R161" s="8"/>
      <c r="S161" s="7">
        <v>737.5</v>
      </c>
      <c r="T161" s="7" t="str">
        <f>"413,0738"</f>
        <v>413,0738</v>
      </c>
      <c r="U161" s="7" t="s">
        <v>27</v>
      </c>
    </row>
    <row r="162" spans="1:21" ht="12.75">
      <c r="A162" s="9" t="s">
        <v>581</v>
      </c>
      <c r="B162" s="9" t="s">
        <v>582</v>
      </c>
      <c r="C162" s="9" t="s">
        <v>583</v>
      </c>
      <c r="D162" s="9" t="str">
        <f>"0,5629"</f>
        <v>0,5629</v>
      </c>
      <c r="E162" s="9" t="s">
        <v>16</v>
      </c>
      <c r="F162" s="9" t="s">
        <v>1500</v>
      </c>
      <c r="G162" s="9" t="s">
        <v>513</v>
      </c>
      <c r="H162" s="9" t="s">
        <v>551</v>
      </c>
      <c r="I162" s="9" t="s">
        <v>485</v>
      </c>
      <c r="J162" s="10"/>
      <c r="K162" s="9" t="s">
        <v>48</v>
      </c>
      <c r="L162" s="9" t="s">
        <v>309</v>
      </c>
      <c r="M162" s="9" t="s">
        <v>44</v>
      </c>
      <c r="N162" s="10"/>
      <c r="O162" s="9" t="s">
        <v>83</v>
      </c>
      <c r="P162" s="10" t="s">
        <v>106</v>
      </c>
      <c r="Q162" s="10" t="s">
        <v>106</v>
      </c>
      <c r="R162" s="10"/>
      <c r="S162" s="9">
        <v>790</v>
      </c>
      <c r="T162" s="9" t="str">
        <f>"444,6910"</f>
        <v>444,6910</v>
      </c>
      <c r="U162" s="9" t="s">
        <v>27</v>
      </c>
    </row>
    <row r="163" spans="1:21" ht="12.75">
      <c r="A163" s="9" t="s">
        <v>584</v>
      </c>
      <c r="B163" s="9" t="s">
        <v>585</v>
      </c>
      <c r="C163" s="9" t="s">
        <v>586</v>
      </c>
      <c r="D163" s="9" t="str">
        <f>"0,5654"</f>
        <v>0,5654</v>
      </c>
      <c r="E163" s="9" t="s">
        <v>16</v>
      </c>
      <c r="F163" s="9" t="s">
        <v>282</v>
      </c>
      <c r="G163" s="9" t="s">
        <v>63</v>
      </c>
      <c r="H163" s="10" t="s">
        <v>73</v>
      </c>
      <c r="I163" s="9" t="s">
        <v>73</v>
      </c>
      <c r="J163" s="10"/>
      <c r="K163" s="10" t="s">
        <v>35</v>
      </c>
      <c r="L163" s="9" t="s">
        <v>35</v>
      </c>
      <c r="M163" s="9" t="s">
        <v>59</v>
      </c>
      <c r="N163" s="10"/>
      <c r="O163" s="9" t="s">
        <v>63</v>
      </c>
      <c r="P163" s="10" t="s">
        <v>73</v>
      </c>
      <c r="Q163" s="10"/>
      <c r="R163" s="10"/>
      <c r="S163" s="9">
        <v>680</v>
      </c>
      <c r="T163" s="9" t="str">
        <f>"384,4720"</f>
        <v>384,4720</v>
      </c>
      <c r="U163" s="9" t="s">
        <v>587</v>
      </c>
    </row>
    <row r="164" spans="1:21" ht="12.75">
      <c r="A164" s="11" t="s">
        <v>588</v>
      </c>
      <c r="B164" s="11" t="s">
        <v>589</v>
      </c>
      <c r="C164" s="11" t="s">
        <v>590</v>
      </c>
      <c r="D164" s="11" t="str">
        <f>"0,5649"</f>
        <v>0,5649</v>
      </c>
      <c r="E164" s="11" t="s">
        <v>16</v>
      </c>
      <c r="F164" s="11" t="s">
        <v>1492</v>
      </c>
      <c r="G164" s="11" t="s">
        <v>44</v>
      </c>
      <c r="H164" s="12" t="s">
        <v>57</v>
      </c>
      <c r="I164" s="11" t="s">
        <v>57</v>
      </c>
      <c r="J164" s="12"/>
      <c r="K164" s="11" t="s">
        <v>59</v>
      </c>
      <c r="L164" s="11" t="s">
        <v>42</v>
      </c>
      <c r="M164" s="12" t="s">
        <v>43</v>
      </c>
      <c r="N164" s="12"/>
      <c r="O164" s="11" t="s">
        <v>74</v>
      </c>
      <c r="P164" s="12" t="s">
        <v>63</v>
      </c>
      <c r="Q164" s="12" t="s">
        <v>63</v>
      </c>
      <c r="R164" s="12"/>
      <c r="S164" s="11">
        <v>620</v>
      </c>
      <c r="T164" s="11" t="str">
        <f>"350,2380"</f>
        <v>350,2380</v>
      </c>
      <c r="U164" s="11" t="s">
        <v>27</v>
      </c>
    </row>
    <row r="166" spans="1:20" ht="15">
      <c r="A166" s="116" t="s">
        <v>591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</row>
    <row r="167" spans="1:21" ht="12.75">
      <c r="A167" s="5" t="s">
        <v>592</v>
      </c>
      <c r="B167" s="5" t="s">
        <v>593</v>
      </c>
      <c r="C167" s="5" t="s">
        <v>594</v>
      </c>
      <c r="D167" s="5" t="str">
        <f>"0,5519"</f>
        <v>0,5519</v>
      </c>
      <c r="E167" s="5" t="s">
        <v>16</v>
      </c>
      <c r="F167" s="5" t="s">
        <v>517</v>
      </c>
      <c r="G167" s="5" t="s">
        <v>83</v>
      </c>
      <c r="H167" s="5" t="s">
        <v>513</v>
      </c>
      <c r="I167" s="5" t="s">
        <v>551</v>
      </c>
      <c r="J167" s="6"/>
      <c r="K167" s="5" t="s">
        <v>121</v>
      </c>
      <c r="L167" s="6" t="s">
        <v>342</v>
      </c>
      <c r="M167" s="6" t="s">
        <v>342</v>
      </c>
      <c r="N167" s="6"/>
      <c r="O167" s="5" t="s">
        <v>115</v>
      </c>
      <c r="P167" s="6" t="s">
        <v>551</v>
      </c>
      <c r="Q167" s="6" t="s">
        <v>551</v>
      </c>
      <c r="R167" s="6"/>
      <c r="S167" s="5">
        <v>780</v>
      </c>
      <c r="T167" s="5" t="str">
        <f>"430,4820"</f>
        <v>430,4820</v>
      </c>
      <c r="U167" s="5" t="s">
        <v>27</v>
      </c>
    </row>
    <row r="170" spans="1:2" ht="18">
      <c r="A170" s="14" t="s">
        <v>140</v>
      </c>
      <c r="B170" s="14"/>
    </row>
    <row r="171" spans="1:2" ht="15">
      <c r="A171" s="15" t="s">
        <v>595</v>
      </c>
      <c r="B171" s="15"/>
    </row>
    <row r="172" spans="1:2" ht="14.25">
      <c r="A172" s="17"/>
      <c r="B172" s="18" t="s">
        <v>596</v>
      </c>
    </row>
    <row r="173" spans="1:5" ht="15">
      <c r="A173" s="19" t="s">
        <v>597</v>
      </c>
      <c r="B173" s="19" t="s">
        <v>598</v>
      </c>
      <c r="C173" s="19" t="s">
        <v>599</v>
      </c>
      <c r="D173" s="19" t="s">
        <v>600</v>
      </c>
      <c r="E173" s="19" t="s">
        <v>601</v>
      </c>
    </row>
    <row r="174" spans="1:5" ht="12.75">
      <c r="A174" s="16" t="s">
        <v>221</v>
      </c>
      <c r="B174" s="4" t="s">
        <v>602</v>
      </c>
      <c r="C174" s="4" t="s">
        <v>603</v>
      </c>
      <c r="D174" s="4" t="s">
        <v>106</v>
      </c>
      <c r="E174" s="20" t="s">
        <v>604</v>
      </c>
    </row>
    <row r="175" spans="1:5" ht="12.75">
      <c r="A175" s="16" t="s">
        <v>248</v>
      </c>
      <c r="B175" s="4" t="s">
        <v>605</v>
      </c>
      <c r="C175" s="4" t="s">
        <v>606</v>
      </c>
      <c r="D175" s="4" t="s">
        <v>551</v>
      </c>
      <c r="E175" s="20" t="s">
        <v>607</v>
      </c>
    </row>
    <row r="177" spans="1:2" ht="14.25">
      <c r="A177" s="17"/>
      <c r="B177" s="18" t="s">
        <v>608</v>
      </c>
    </row>
    <row r="178" spans="1:5" ht="15">
      <c r="A178" s="19" t="s">
        <v>597</v>
      </c>
      <c r="B178" s="19" t="s">
        <v>598</v>
      </c>
      <c r="C178" s="19" t="s">
        <v>599</v>
      </c>
      <c r="D178" s="19" t="s">
        <v>600</v>
      </c>
      <c r="E178" s="19" t="s">
        <v>601</v>
      </c>
    </row>
    <row r="179" spans="1:5" ht="12.75">
      <c r="A179" s="16" t="s">
        <v>196</v>
      </c>
      <c r="B179" s="4" t="s">
        <v>608</v>
      </c>
      <c r="C179" s="4" t="s">
        <v>609</v>
      </c>
      <c r="D179" s="4" t="s">
        <v>610</v>
      </c>
      <c r="E179" s="20" t="s">
        <v>611</v>
      </c>
    </row>
    <row r="180" spans="1:5" ht="12.75">
      <c r="A180" s="16" t="s">
        <v>149</v>
      </c>
      <c r="B180" s="4" t="s">
        <v>608</v>
      </c>
      <c r="C180" s="4" t="s">
        <v>612</v>
      </c>
      <c r="D180" s="4" t="s">
        <v>411</v>
      </c>
      <c r="E180" s="20" t="s">
        <v>613</v>
      </c>
    </row>
    <row r="181" spans="1:5" ht="12.75">
      <c r="A181" s="16" t="s">
        <v>166</v>
      </c>
      <c r="B181" s="4" t="s">
        <v>608</v>
      </c>
      <c r="C181" s="4" t="s">
        <v>614</v>
      </c>
      <c r="D181" s="4" t="s">
        <v>74</v>
      </c>
      <c r="E181" s="20" t="s">
        <v>615</v>
      </c>
    </row>
    <row r="182" spans="1:5" ht="12.75">
      <c r="A182" s="16" t="s">
        <v>201</v>
      </c>
      <c r="B182" s="4" t="s">
        <v>608</v>
      </c>
      <c r="C182" s="4" t="s">
        <v>609</v>
      </c>
      <c r="D182" s="4" t="s">
        <v>309</v>
      </c>
      <c r="E182" s="20" t="s">
        <v>616</v>
      </c>
    </row>
    <row r="184" spans="1:2" ht="14.25">
      <c r="A184" s="17"/>
      <c r="B184" s="18" t="s">
        <v>617</v>
      </c>
    </row>
    <row r="185" spans="1:5" ht="15">
      <c r="A185" s="19" t="s">
        <v>597</v>
      </c>
      <c r="B185" s="19" t="s">
        <v>598</v>
      </c>
      <c r="C185" s="19" t="s">
        <v>599</v>
      </c>
      <c r="D185" s="19" t="s">
        <v>600</v>
      </c>
      <c r="E185" s="19" t="s">
        <v>601</v>
      </c>
    </row>
    <row r="186" spans="1:5" ht="12.75">
      <c r="A186" s="16" t="s">
        <v>182</v>
      </c>
      <c r="B186" s="4" t="s">
        <v>617</v>
      </c>
      <c r="C186" s="4" t="s">
        <v>618</v>
      </c>
      <c r="D186" s="4" t="s">
        <v>551</v>
      </c>
      <c r="E186" s="20" t="s">
        <v>619</v>
      </c>
    </row>
    <row r="187" spans="1:5" ht="12.75">
      <c r="A187" s="16" t="s">
        <v>186</v>
      </c>
      <c r="B187" s="4" t="s">
        <v>617</v>
      </c>
      <c r="C187" s="4" t="s">
        <v>618</v>
      </c>
      <c r="D187" s="4" t="s">
        <v>620</v>
      </c>
      <c r="E187" s="20" t="s">
        <v>621</v>
      </c>
    </row>
    <row r="188" spans="1:5" ht="12.75">
      <c r="A188" s="16" t="s">
        <v>141</v>
      </c>
      <c r="B188" s="4" t="s">
        <v>617</v>
      </c>
      <c r="C188" s="4" t="s">
        <v>622</v>
      </c>
      <c r="D188" s="4" t="s">
        <v>313</v>
      </c>
      <c r="E188" s="20" t="s">
        <v>623</v>
      </c>
    </row>
    <row r="189" spans="1:5" ht="12.75">
      <c r="A189" s="16" t="s">
        <v>230</v>
      </c>
      <c r="B189" s="4" t="s">
        <v>617</v>
      </c>
      <c r="C189" s="4" t="s">
        <v>603</v>
      </c>
      <c r="D189" s="4" t="s">
        <v>624</v>
      </c>
      <c r="E189" s="20" t="s">
        <v>625</v>
      </c>
    </row>
    <row r="190" spans="1:5" ht="12.75">
      <c r="A190" s="16" t="s">
        <v>205</v>
      </c>
      <c r="B190" s="4" t="s">
        <v>617</v>
      </c>
      <c r="C190" s="4" t="s">
        <v>609</v>
      </c>
      <c r="D190" s="4" t="s">
        <v>106</v>
      </c>
      <c r="E190" s="20" t="s">
        <v>626</v>
      </c>
    </row>
    <row r="191" spans="1:5" ht="12.75">
      <c r="A191" s="16" t="s">
        <v>155</v>
      </c>
      <c r="B191" s="4" t="s">
        <v>617</v>
      </c>
      <c r="C191" s="4" t="s">
        <v>612</v>
      </c>
      <c r="D191" s="4" t="s">
        <v>65</v>
      </c>
      <c r="E191" s="20" t="s">
        <v>627</v>
      </c>
    </row>
    <row r="192" spans="1:5" ht="12.75">
      <c r="A192" s="16" t="s">
        <v>170</v>
      </c>
      <c r="B192" s="4" t="s">
        <v>617</v>
      </c>
      <c r="C192" s="4" t="s">
        <v>614</v>
      </c>
      <c r="D192" s="4" t="s">
        <v>63</v>
      </c>
      <c r="E192" s="20" t="s">
        <v>628</v>
      </c>
    </row>
    <row r="193" spans="1:5" ht="12.75">
      <c r="A193" s="16" t="s">
        <v>166</v>
      </c>
      <c r="B193" s="4" t="s">
        <v>617</v>
      </c>
      <c r="C193" s="4" t="s">
        <v>614</v>
      </c>
      <c r="D193" s="4" t="s">
        <v>74</v>
      </c>
      <c r="E193" s="20" t="s">
        <v>615</v>
      </c>
    </row>
    <row r="194" spans="1:5" ht="12.75">
      <c r="A194" s="16" t="s">
        <v>233</v>
      </c>
      <c r="B194" s="4" t="s">
        <v>617</v>
      </c>
      <c r="C194" s="4" t="s">
        <v>603</v>
      </c>
      <c r="D194" s="4" t="s">
        <v>73</v>
      </c>
      <c r="E194" s="20" t="s">
        <v>629</v>
      </c>
    </row>
    <row r="195" spans="1:5" ht="12.75">
      <c r="A195" s="16" t="s">
        <v>158</v>
      </c>
      <c r="B195" s="4" t="s">
        <v>617</v>
      </c>
      <c r="C195" s="4" t="s">
        <v>612</v>
      </c>
      <c r="D195" s="4" t="s">
        <v>317</v>
      </c>
      <c r="E195" s="20" t="s">
        <v>630</v>
      </c>
    </row>
    <row r="196" spans="1:5" ht="12.75">
      <c r="A196" s="16" t="s">
        <v>237</v>
      </c>
      <c r="B196" s="4" t="s">
        <v>617</v>
      </c>
      <c r="C196" s="4" t="s">
        <v>603</v>
      </c>
      <c r="D196" s="4" t="s">
        <v>313</v>
      </c>
      <c r="E196" s="20" t="s">
        <v>631</v>
      </c>
    </row>
    <row r="198" spans="1:2" ht="14.25">
      <c r="A198" s="17"/>
      <c r="B198" s="18" t="s">
        <v>632</v>
      </c>
    </row>
    <row r="199" spans="1:5" ht="15">
      <c r="A199" s="19" t="s">
        <v>597</v>
      </c>
      <c r="B199" s="19" t="s">
        <v>598</v>
      </c>
      <c r="C199" s="19" t="s">
        <v>599</v>
      </c>
      <c r="D199" s="19" t="s">
        <v>600</v>
      </c>
      <c r="E199" s="19" t="s">
        <v>601</v>
      </c>
    </row>
    <row r="200" spans="1:5" ht="12.75">
      <c r="A200" s="16" t="s">
        <v>217</v>
      </c>
      <c r="B200" s="4" t="s">
        <v>633</v>
      </c>
      <c r="C200" s="4" t="s">
        <v>609</v>
      </c>
      <c r="D200" s="4" t="s">
        <v>390</v>
      </c>
      <c r="E200" s="20" t="s">
        <v>634</v>
      </c>
    </row>
    <row r="201" spans="1:5" ht="12.75">
      <c r="A201" s="16" t="s">
        <v>212</v>
      </c>
      <c r="B201" s="4" t="s">
        <v>633</v>
      </c>
      <c r="C201" s="4" t="s">
        <v>609</v>
      </c>
      <c r="D201" s="4" t="s">
        <v>446</v>
      </c>
      <c r="E201" s="20" t="s">
        <v>635</v>
      </c>
    </row>
    <row r="202" spans="1:5" ht="12.75">
      <c r="A202" s="16" t="s">
        <v>241</v>
      </c>
      <c r="B202" s="4" t="s">
        <v>633</v>
      </c>
      <c r="C202" s="4" t="s">
        <v>603</v>
      </c>
      <c r="D202" s="4" t="s">
        <v>399</v>
      </c>
      <c r="E202" s="20" t="s">
        <v>636</v>
      </c>
    </row>
    <row r="204" spans="1:2" ht="15">
      <c r="A204" s="15" t="s">
        <v>637</v>
      </c>
      <c r="B204" s="15"/>
    </row>
    <row r="205" spans="1:2" ht="14.25">
      <c r="A205" s="17"/>
      <c r="B205" s="18" t="s">
        <v>596</v>
      </c>
    </row>
    <row r="206" spans="1:5" ht="15">
      <c r="A206" s="19" t="s">
        <v>597</v>
      </c>
      <c r="B206" s="19" t="s">
        <v>598</v>
      </c>
      <c r="C206" s="19" t="s">
        <v>599</v>
      </c>
      <c r="D206" s="19" t="s">
        <v>600</v>
      </c>
      <c r="E206" s="19" t="s">
        <v>601</v>
      </c>
    </row>
    <row r="207" spans="1:5" ht="12.75">
      <c r="A207" s="16" t="s">
        <v>361</v>
      </c>
      <c r="B207" s="4" t="s">
        <v>605</v>
      </c>
      <c r="C207" s="4" t="s">
        <v>638</v>
      </c>
      <c r="D207" s="4" t="s">
        <v>639</v>
      </c>
      <c r="E207" s="20" t="s">
        <v>640</v>
      </c>
    </row>
    <row r="208" spans="1:5" ht="12.75">
      <c r="A208" s="16" t="s">
        <v>256</v>
      </c>
      <c r="B208" s="4" t="s">
        <v>602</v>
      </c>
      <c r="C208" s="4" t="s">
        <v>618</v>
      </c>
      <c r="D208" s="4" t="s">
        <v>641</v>
      </c>
      <c r="E208" s="20" t="s">
        <v>642</v>
      </c>
    </row>
    <row r="209" spans="1:5" ht="12.75">
      <c r="A209" s="16" t="s">
        <v>366</v>
      </c>
      <c r="B209" s="4" t="s">
        <v>605</v>
      </c>
      <c r="C209" s="4" t="s">
        <v>638</v>
      </c>
      <c r="D209" s="4" t="s">
        <v>643</v>
      </c>
      <c r="E209" s="20" t="s">
        <v>644</v>
      </c>
    </row>
    <row r="210" spans="1:5" ht="12.75">
      <c r="A210" s="16" t="s">
        <v>371</v>
      </c>
      <c r="B210" s="4" t="s">
        <v>605</v>
      </c>
      <c r="C210" s="4" t="s">
        <v>638</v>
      </c>
      <c r="D210" s="4" t="s">
        <v>645</v>
      </c>
      <c r="E210" s="20" t="s">
        <v>646</v>
      </c>
    </row>
    <row r="211" spans="1:5" ht="12.75">
      <c r="A211" s="16" t="s">
        <v>375</v>
      </c>
      <c r="B211" s="4" t="s">
        <v>605</v>
      </c>
      <c r="C211" s="4" t="s">
        <v>638</v>
      </c>
      <c r="D211" s="4" t="s">
        <v>647</v>
      </c>
      <c r="E211" s="20" t="s">
        <v>648</v>
      </c>
    </row>
    <row r="212" spans="1:5" ht="12.75">
      <c r="A212" s="16" t="s">
        <v>505</v>
      </c>
      <c r="B212" s="4" t="s">
        <v>602</v>
      </c>
      <c r="C212" s="4" t="s">
        <v>649</v>
      </c>
      <c r="D212" s="4" t="s">
        <v>650</v>
      </c>
      <c r="E212" s="20" t="s">
        <v>651</v>
      </c>
    </row>
    <row r="213" spans="1:5" ht="12.75">
      <c r="A213" s="16" t="s">
        <v>270</v>
      </c>
      <c r="B213" s="4" t="s">
        <v>602</v>
      </c>
      <c r="C213" s="4" t="s">
        <v>609</v>
      </c>
      <c r="D213" s="4" t="s">
        <v>652</v>
      </c>
      <c r="E213" s="20" t="s">
        <v>653</v>
      </c>
    </row>
    <row r="214" spans="1:5" ht="12.75">
      <c r="A214" s="16" t="s">
        <v>332</v>
      </c>
      <c r="B214" s="4" t="s">
        <v>605</v>
      </c>
      <c r="C214" s="4" t="s">
        <v>654</v>
      </c>
      <c r="D214" s="4" t="s">
        <v>655</v>
      </c>
      <c r="E214" s="20" t="s">
        <v>656</v>
      </c>
    </row>
    <row r="215" spans="1:5" ht="12.75">
      <c r="A215" s="16" t="s">
        <v>542</v>
      </c>
      <c r="B215" s="4" t="s">
        <v>605</v>
      </c>
      <c r="C215" s="4" t="s">
        <v>657</v>
      </c>
      <c r="D215" s="4" t="s">
        <v>658</v>
      </c>
      <c r="E215" s="20" t="s">
        <v>659</v>
      </c>
    </row>
    <row r="217" spans="1:2" ht="14.25">
      <c r="A217" s="17"/>
      <c r="B217" s="18" t="s">
        <v>608</v>
      </c>
    </row>
    <row r="218" spans="1:5" ht="15">
      <c r="A218" s="19" t="s">
        <v>597</v>
      </c>
      <c r="B218" s="19" t="s">
        <v>598</v>
      </c>
      <c r="C218" s="19" t="s">
        <v>599</v>
      </c>
      <c r="D218" s="19" t="s">
        <v>600</v>
      </c>
      <c r="E218" s="19" t="s">
        <v>601</v>
      </c>
    </row>
    <row r="219" spans="1:5" ht="12.75">
      <c r="A219" s="16" t="s">
        <v>377</v>
      </c>
      <c r="B219" s="4" t="s">
        <v>608</v>
      </c>
      <c r="C219" s="4" t="s">
        <v>638</v>
      </c>
      <c r="D219" s="4" t="s">
        <v>660</v>
      </c>
      <c r="E219" s="20" t="s">
        <v>661</v>
      </c>
    </row>
    <row r="220" spans="1:5" ht="12.75">
      <c r="A220" s="16" t="s">
        <v>437</v>
      </c>
      <c r="B220" s="4" t="s">
        <v>608</v>
      </c>
      <c r="C220" s="4" t="s">
        <v>662</v>
      </c>
      <c r="D220" s="4" t="s">
        <v>663</v>
      </c>
      <c r="E220" s="20" t="s">
        <v>664</v>
      </c>
    </row>
    <row r="221" spans="1:5" ht="12.75">
      <c r="A221" s="16" t="s">
        <v>577</v>
      </c>
      <c r="B221" s="4" t="s">
        <v>608</v>
      </c>
      <c r="C221" s="4" t="s">
        <v>665</v>
      </c>
      <c r="D221" s="4" t="s">
        <v>666</v>
      </c>
      <c r="E221" s="20" t="s">
        <v>667</v>
      </c>
    </row>
    <row r="222" spans="1:5" ht="12.75">
      <c r="A222" s="16" t="s">
        <v>381</v>
      </c>
      <c r="B222" s="4" t="s">
        <v>608</v>
      </c>
      <c r="C222" s="4" t="s">
        <v>638</v>
      </c>
      <c r="D222" s="4" t="s">
        <v>668</v>
      </c>
      <c r="E222" s="20" t="s">
        <v>669</v>
      </c>
    </row>
    <row r="223" spans="1:5" ht="12.75">
      <c r="A223" s="16" t="s">
        <v>336</v>
      </c>
      <c r="B223" s="4" t="s">
        <v>608</v>
      </c>
      <c r="C223" s="4" t="s">
        <v>654</v>
      </c>
      <c r="D223" s="4" t="s">
        <v>639</v>
      </c>
      <c r="E223" s="20" t="s">
        <v>670</v>
      </c>
    </row>
    <row r="224" spans="1:5" ht="12.75">
      <c r="A224" s="16" t="s">
        <v>275</v>
      </c>
      <c r="B224" s="4" t="s">
        <v>608</v>
      </c>
      <c r="C224" s="4" t="s">
        <v>603</v>
      </c>
      <c r="D224" s="4" t="s">
        <v>671</v>
      </c>
      <c r="E224" s="20" t="s">
        <v>672</v>
      </c>
    </row>
    <row r="225" spans="1:5" ht="12.75">
      <c r="A225" s="16" t="s">
        <v>440</v>
      </c>
      <c r="B225" s="4" t="s">
        <v>608</v>
      </c>
      <c r="C225" s="4" t="s">
        <v>662</v>
      </c>
      <c r="D225" s="4" t="s">
        <v>673</v>
      </c>
      <c r="E225" s="20" t="s">
        <v>674</v>
      </c>
    </row>
    <row r="226" spans="1:5" ht="12.75">
      <c r="A226" s="16" t="s">
        <v>279</v>
      </c>
      <c r="B226" s="4" t="s">
        <v>608</v>
      </c>
      <c r="C226" s="4" t="s">
        <v>603</v>
      </c>
      <c r="D226" s="4" t="s">
        <v>675</v>
      </c>
      <c r="E226" s="20" t="s">
        <v>676</v>
      </c>
    </row>
    <row r="227" spans="1:5" ht="12.75">
      <c r="A227" s="16" t="s">
        <v>286</v>
      </c>
      <c r="B227" s="4" t="s">
        <v>608</v>
      </c>
      <c r="C227" s="4" t="s">
        <v>603</v>
      </c>
      <c r="D227" s="4" t="s">
        <v>677</v>
      </c>
      <c r="E227" s="20" t="s">
        <v>678</v>
      </c>
    </row>
    <row r="228" spans="1:5" ht="12.75">
      <c r="A228" s="16" t="s">
        <v>385</v>
      </c>
      <c r="B228" s="4" t="s">
        <v>608</v>
      </c>
      <c r="C228" s="4" t="s">
        <v>638</v>
      </c>
      <c r="D228" s="4" t="s">
        <v>679</v>
      </c>
      <c r="E228" s="20" t="s">
        <v>680</v>
      </c>
    </row>
    <row r="229" spans="1:5" ht="12.75">
      <c r="A229" s="16" t="s">
        <v>338</v>
      </c>
      <c r="B229" s="4" t="s">
        <v>608</v>
      </c>
      <c r="C229" s="4" t="s">
        <v>654</v>
      </c>
      <c r="D229" s="4" t="s">
        <v>681</v>
      </c>
      <c r="E229" s="20" t="s">
        <v>682</v>
      </c>
    </row>
    <row r="231" spans="1:2" ht="14.25">
      <c r="A231" s="17"/>
      <c r="B231" s="18" t="s">
        <v>617</v>
      </c>
    </row>
    <row r="232" spans="1:5" ht="15">
      <c r="A232" s="19" t="s">
        <v>597</v>
      </c>
      <c r="B232" s="19" t="s">
        <v>598</v>
      </c>
      <c r="C232" s="19" t="s">
        <v>599</v>
      </c>
      <c r="D232" s="19" t="s">
        <v>600</v>
      </c>
      <c r="E232" s="19" t="s">
        <v>601</v>
      </c>
    </row>
    <row r="233" spans="1:5" ht="12.75">
      <c r="A233" s="16" t="s">
        <v>289</v>
      </c>
      <c r="B233" s="4" t="s">
        <v>617</v>
      </c>
      <c r="C233" s="4" t="s">
        <v>603</v>
      </c>
      <c r="D233" s="4" t="s">
        <v>683</v>
      </c>
      <c r="E233" s="20" t="s">
        <v>684</v>
      </c>
    </row>
    <row r="234" spans="1:5" ht="12.75">
      <c r="A234" s="16" t="s">
        <v>449</v>
      </c>
      <c r="B234" s="4" t="s">
        <v>617</v>
      </c>
      <c r="C234" s="4" t="s">
        <v>662</v>
      </c>
      <c r="D234" s="4" t="s">
        <v>685</v>
      </c>
      <c r="E234" s="20" t="s">
        <v>686</v>
      </c>
    </row>
    <row r="235" spans="1:5" ht="12.75">
      <c r="A235" s="16" t="s">
        <v>388</v>
      </c>
      <c r="B235" s="4" t="s">
        <v>617</v>
      </c>
      <c r="C235" s="4" t="s">
        <v>638</v>
      </c>
      <c r="D235" s="4" t="s">
        <v>687</v>
      </c>
      <c r="E235" s="20" t="s">
        <v>688</v>
      </c>
    </row>
    <row r="236" spans="1:5" ht="12.75">
      <c r="A236" s="16" t="s">
        <v>444</v>
      </c>
      <c r="B236" s="4" t="s">
        <v>617</v>
      </c>
      <c r="C236" s="4" t="s">
        <v>662</v>
      </c>
      <c r="D236" s="4" t="s">
        <v>689</v>
      </c>
      <c r="E236" s="20" t="s">
        <v>690</v>
      </c>
    </row>
    <row r="237" spans="1:5" ht="12.75">
      <c r="A237" s="16" t="s">
        <v>546</v>
      </c>
      <c r="B237" s="4" t="s">
        <v>617</v>
      </c>
      <c r="C237" s="4" t="s">
        <v>657</v>
      </c>
      <c r="D237" s="4" t="s">
        <v>691</v>
      </c>
      <c r="E237" s="20" t="s">
        <v>692</v>
      </c>
    </row>
    <row r="238" spans="1:5" ht="12.75">
      <c r="A238" s="16" t="s">
        <v>510</v>
      </c>
      <c r="B238" s="4" t="s">
        <v>617</v>
      </c>
      <c r="C238" s="4" t="s">
        <v>649</v>
      </c>
      <c r="D238" s="4" t="s">
        <v>693</v>
      </c>
      <c r="E238" s="20" t="s">
        <v>694</v>
      </c>
    </row>
    <row r="239" spans="1:5" ht="12.75">
      <c r="A239" s="16" t="s">
        <v>344</v>
      </c>
      <c r="B239" s="4" t="s">
        <v>617</v>
      </c>
      <c r="C239" s="4" t="s">
        <v>654</v>
      </c>
      <c r="D239" s="4" t="s">
        <v>695</v>
      </c>
      <c r="E239" s="20" t="s">
        <v>696</v>
      </c>
    </row>
    <row r="240" spans="1:5" ht="12.75">
      <c r="A240" s="16" t="s">
        <v>391</v>
      </c>
      <c r="B240" s="4" t="s">
        <v>617</v>
      </c>
      <c r="C240" s="4" t="s">
        <v>638</v>
      </c>
      <c r="D240" s="4" t="s">
        <v>697</v>
      </c>
      <c r="E240" s="20" t="s">
        <v>698</v>
      </c>
    </row>
    <row r="241" spans="1:5" ht="12.75">
      <c r="A241" s="16" t="s">
        <v>581</v>
      </c>
      <c r="B241" s="4" t="s">
        <v>617</v>
      </c>
      <c r="C241" s="4" t="s">
        <v>665</v>
      </c>
      <c r="D241" s="4" t="s">
        <v>699</v>
      </c>
      <c r="E241" s="20" t="s">
        <v>700</v>
      </c>
    </row>
    <row r="242" spans="1:5" ht="12.75">
      <c r="A242" s="16" t="s">
        <v>394</v>
      </c>
      <c r="B242" s="4" t="s">
        <v>617</v>
      </c>
      <c r="C242" s="4" t="s">
        <v>638</v>
      </c>
      <c r="D242" s="4" t="s">
        <v>701</v>
      </c>
      <c r="E242" s="20" t="s">
        <v>702</v>
      </c>
    </row>
    <row r="243" spans="1:5" ht="12.75">
      <c r="A243" s="16" t="s">
        <v>397</v>
      </c>
      <c r="B243" s="4" t="s">
        <v>617</v>
      </c>
      <c r="C243" s="4" t="s">
        <v>638</v>
      </c>
      <c r="D243" s="4" t="s">
        <v>701</v>
      </c>
      <c r="E243" s="20" t="s">
        <v>703</v>
      </c>
    </row>
    <row r="244" spans="1:5" ht="12.75">
      <c r="A244" s="16" t="s">
        <v>592</v>
      </c>
      <c r="B244" s="4" t="s">
        <v>617</v>
      </c>
      <c r="C244" s="4" t="s">
        <v>704</v>
      </c>
      <c r="D244" s="4" t="s">
        <v>705</v>
      </c>
      <c r="E244" s="20" t="s">
        <v>706</v>
      </c>
    </row>
    <row r="245" spans="1:5" ht="12.75">
      <c r="A245" s="16" t="s">
        <v>514</v>
      </c>
      <c r="B245" s="4" t="s">
        <v>617</v>
      </c>
      <c r="C245" s="4" t="s">
        <v>649</v>
      </c>
      <c r="D245" s="4" t="s">
        <v>707</v>
      </c>
      <c r="E245" s="20" t="s">
        <v>708</v>
      </c>
    </row>
    <row r="246" spans="1:5" ht="12.75">
      <c r="A246" s="16" t="s">
        <v>452</v>
      </c>
      <c r="B246" s="4" t="s">
        <v>617</v>
      </c>
      <c r="C246" s="4" t="s">
        <v>662</v>
      </c>
      <c r="D246" s="4" t="s">
        <v>709</v>
      </c>
      <c r="E246" s="20" t="s">
        <v>710</v>
      </c>
    </row>
    <row r="247" spans="1:5" ht="12.75">
      <c r="A247" s="16" t="s">
        <v>294</v>
      </c>
      <c r="B247" s="4" t="s">
        <v>617</v>
      </c>
      <c r="C247" s="4" t="s">
        <v>603</v>
      </c>
      <c r="D247" s="4" t="s">
        <v>711</v>
      </c>
      <c r="E247" s="20" t="s">
        <v>712</v>
      </c>
    </row>
    <row r="248" spans="1:5" ht="12.75">
      <c r="A248" s="16" t="s">
        <v>552</v>
      </c>
      <c r="B248" s="4" t="s">
        <v>617</v>
      </c>
      <c r="C248" s="4" t="s">
        <v>657</v>
      </c>
      <c r="D248" s="4" t="s">
        <v>687</v>
      </c>
      <c r="E248" s="20" t="s">
        <v>713</v>
      </c>
    </row>
    <row r="249" spans="1:5" ht="12.75">
      <c r="A249" s="16" t="s">
        <v>437</v>
      </c>
      <c r="B249" s="4" t="s">
        <v>617</v>
      </c>
      <c r="C249" s="4" t="s">
        <v>662</v>
      </c>
      <c r="D249" s="4" t="s">
        <v>663</v>
      </c>
      <c r="E249" s="20" t="s">
        <v>664</v>
      </c>
    </row>
    <row r="250" spans="1:5" ht="12.75">
      <c r="A250" s="16" t="s">
        <v>349</v>
      </c>
      <c r="B250" s="4" t="s">
        <v>617</v>
      </c>
      <c r="C250" s="4" t="s">
        <v>654</v>
      </c>
      <c r="D250" s="4" t="s">
        <v>673</v>
      </c>
      <c r="E250" s="20" t="s">
        <v>714</v>
      </c>
    </row>
    <row r="251" spans="1:5" ht="12.75">
      <c r="A251" s="16" t="s">
        <v>455</v>
      </c>
      <c r="B251" s="4" t="s">
        <v>617</v>
      </c>
      <c r="C251" s="4" t="s">
        <v>662</v>
      </c>
      <c r="D251" s="4" t="s">
        <v>660</v>
      </c>
      <c r="E251" s="20" t="s">
        <v>715</v>
      </c>
    </row>
    <row r="252" spans="1:5" ht="12.75">
      <c r="A252" s="16" t="s">
        <v>353</v>
      </c>
      <c r="B252" s="4" t="s">
        <v>617</v>
      </c>
      <c r="C252" s="4" t="s">
        <v>654</v>
      </c>
      <c r="D252" s="4" t="s">
        <v>650</v>
      </c>
      <c r="E252" s="20" t="s">
        <v>716</v>
      </c>
    </row>
    <row r="253" spans="1:5" ht="12.75">
      <c r="A253" s="16" t="s">
        <v>556</v>
      </c>
      <c r="B253" s="4" t="s">
        <v>617</v>
      </c>
      <c r="C253" s="4" t="s">
        <v>657</v>
      </c>
      <c r="D253" s="4" t="s">
        <v>697</v>
      </c>
      <c r="E253" s="20" t="s">
        <v>717</v>
      </c>
    </row>
    <row r="254" spans="1:5" ht="12.75">
      <c r="A254" s="16" t="s">
        <v>304</v>
      </c>
      <c r="B254" s="4" t="s">
        <v>617</v>
      </c>
      <c r="C254" s="4" t="s">
        <v>606</v>
      </c>
      <c r="D254" s="4" t="s">
        <v>718</v>
      </c>
      <c r="E254" s="20" t="s">
        <v>719</v>
      </c>
    </row>
    <row r="255" spans="1:5" ht="12.75">
      <c r="A255" s="16" t="s">
        <v>559</v>
      </c>
      <c r="B255" s="4" t="s">
        <v>617</v>
      </c>
      <c r="C255" s="4" t="s">
        <v>657</v>
      </c>
      <c r="D255" s="4" t="s">
        <v>720</v>
      </c>
      <c r="E255" s="20" t="s">
        <v>721</v>
      </c>
    </row>
    <row r="256" spans="1:5" ht="12.75">
      <c r="A256" s="16" t="s">
        <v>400</v>
      </c>
      <c r="B256" s="4" t="s">
        <v>617</v>
      </c>
      <c r="C256" s="4" t="s">
        <v>638</v>
      </c>
      <c r="D256" s="4" t="s">
        <v>722</v>
      </c>
      <c r="E256" s="20" t="s">
        <v>723</v>
      </c>
    </row>
    <row r="258" spans="1:2" ht="14.25">
      <c r="A258" s="17"/>
      <c r="B258" s="18" t="s">
        <v>632</v>
      </c>
    </row>
    <row r="259" spans="1:5" ht="15">
      <c r="A259" s="19" t="s">
        <v>597</v>
      </c>
      <c r="B259" s="19" t="s">
        <v>598</v>
      </c>
      <c r="C259" s="19" t="s">
        <v>599</v>
      </c>
      <c r="D259" s="19" t="s">
        <v>600</v>
      </c>
      <c r="E259" s="19" t="s">
        <v>601</v>
      </c>
    </row>
    <row r="260" spans="1:5" ht="12.75">
      <c r="A260" s="16" t="s">
        <v>503</v>
      </c>
      <c r="B260" s="4" t="s">
        <v>724</v>
      </c>
      <c r="C260" s="4" t="s">
        <v>662</v>
      </c>
      <c r="D260" s="4" t="s">
        <v>725</v>
      </c>
      <c r="E260" s="20" t="s">
        <v>726</v>
      </c>
    </row>
    <row r="261" spans="1:5" ht="12.75">
      <c r="A261" s="16" t="s">
        <v>322</v>
      </c>
      <c r="B261" s="4" t="s">
        <v>727</v>
      </c>
      <c r="C261" s="4" t="s">
        <v>606</v>
      </c>
      <c r="D261" s="4" t="s">
        <v>728</v>
      </c>
      <c r="E261" s="20" t="s">
        <v>729</v>
      </c>
    </row>
    <row r="262" spans="1:5" ht="12.75">
      <c r="A262" s="16" t="s">
        <v>326</v>
      </c>
      <c r="B262" s="4" t="s">
        <v>730</v>
      </c>
      <c r="C262" s="4" t="s">
        <v>606</v>
      </c>
      <c r="D262" s="4" t="s">
        <v>731</v>
      </c>
      <c r="E262" s="20" t="s">
        <v>732</v>
      </c>
    </row>
    <row r="263" spans="1:5" ht="12.75">
      <c r="A263" s="16" t="s">
        <v>404</v>
      </c>
      <c r="B263" s="4" t="s">
        <v>727</v>
      </c>
      <c r="C263" s="4" t="s">
        <v>638</v>
      </c>
      <c r="D263" s="4" t="s">
        <v>733</v>
      </c>
      <c r="E263" s="20" t="s">
        <v>734</v>
      </c>
    </row>
    <row r="264" spans="1:5" ht="12.75">
      <c r="A264" s="16" t="s">
        <v>538</v>
      </c>
      <c r="B264" s="4" t="s">
        <v>727</v>
      </c>
      <c r="C264" s="4" t="s">
        <v>649</v>
      </c>
      <c r="D264" s="4" t="s">
        <v>735</v>
      </c>
      <c r="E264" s="20" t="s">
        <v>736</v>
      </c>
    </row>
    <row r="265" spans="1:5" ht="12.75">
      <c r="A265" s="16" t="s">
        <v>265</v>
      </c>
      <c r="B265" s="4" t="s">
        <v>730</v>
      </c>
      <c r="C265" s="4" t="s">
        <v>618</v>
      </c>
      <c r="D265" s="4" t="s">
        <v>737</v>
      </c>
      <c r="E265" s="20" t="s">
        <v>738</v>
      </c>
    </row>
    <row r="266" spans="1:5" ht="12.75">
      <c r="A266" s="16" t="s">
        <v>572</v>
      </c>
      <c r="B266" s="4" t="s">
        <v>727</v>
      </c>
      <c r="C266" s="4" t="s">
        <v>657</v>
      </c>
      <c r="D266" s="4" t="s">
        <v>735</v>
      </c>
      <c r="E266" s="20" t="s">
        <v>739</v>
      </c>
    </row>
    <row r="267" spans="1:5" ht="12.75">
      <c r="A267" s="16" t="s">
        <v>428</v>
      </c>
      <c r="B267" s="4" t="s">
        <v>727</v>
      </c>
      <c r="C267" s="4" t="s">
        <v>638</v>
      </c>
      <c r="D267" s="4" t="s">
        <v>655</v>
      </c>
      <c r="E267" s="20" t="s">
        <v>740</v>
      </c>
    </row>
    <row r="268" spans="1:5" ht="12.75">
      <c r="A268" s="16" t="s">
        <v>455</v>
      </c>
      <c r="B268" s="4" t="s">
        <v>633</v>
      </c>
      <c r="C268" s="4" t="s">
        <v>662</v>
      </c>
      <c r="D268" s="4" t="s">
        <v>660</v>
      </c>
      <c r="E268" s="20" t="s">
        <v>741</v>
      </c>
    </row>
    <row r="269" spans="1:5" ht="12.75">
      <c r="A269" s="16" t="s">
        <v>568</v>
      </c>
      <c r="B269" s="4" t="s">
        <v>633</v>
      </c>
      <c r="C269" s="4" t="s">
        <v>657</v>
      </c>
      <c r="D269" s="4" t="s">
        <v>742</v>
      </c>
      <c r="E269" s="20" t="s">
        <v>743</v>
      </c>
    </row>
    <row r="270" spans="1:5" ht="12.75">
      <c r="A270" s="16" t="s">
        <v>489</v>
      </c>
      <c r="B270" s="4" t="s">
        <v>633</v>
      </c>
      <c r="C270" s="4" t="s">
        <v>662</v>
      </c>
      <c r="D270" s="4" t="s">
        <v>744</v>
      </c>
      <c r="E270" s="20" t="s">
        <v>745</v>
      </c>
    </row>
    <row r="271" spans="1:5" ht="12.75">
      <c r="A271" s="16" t="s">
        <v>498</v>
      </c>
      <c r="B271" s="4" t="s">
        <v>727</v>
      </c>
      <c r="C271" s="4" t="s">
        <v>662</v>
      </c>
      <c r="D271" s="4" t="s">
        <v>746</v>
      </c>
      <c r="E271" s="20" t="s">
        <v>747</v>
      </c>
    </row>
    <row r="272" spans="1:5" ht="12.75">
      <c r="A272" s="16" t="s">
        <v>495</v>
      </c>
      <c r="B272" s="4" t="s">
        <v>727</v>
      </c>
      <c r="C272" s="4" t="s">
        <v>662</v>
      </c>
      <c r="D272" s="4" t="s">
        <v>748</v>
      </c>
      <c r="E272" s="20" t="s">
        <v>749</v>
      </c>
    </row>
    <row r="273" spans="1:5" ht="12.75">
      <c r="A273" s="16" t="s">
        <v>359</v>
      </c>
      <c r="B273" s="4" t="s">
        <v>727</v>
      </c>
      <c r="C273" s="4" t="s">
        <v>654</v>
      </c>
      <c r="D273" s="4" t="s">
        <v>750</v>
      </c>
      <c r="E273" s="20" t="s">
        <v>751</v>
      </c>
    </row>
    <row r="274" spans="1:5" ht="12.75">
      <c r="A274" s="16" t="s">
        <v>530</v>
      </c>
      <c r="B274" s="4" t="s">
        <v>633</v>
      </c>
      <c r="C274" s="4" t="s">
        <v>649</v>
      </c>
      <c r="D274" s="4" t="s">
        <v>645</v>
      </c>
      <c r="E274" s="20" t="s">
        <v>752</v>
      </c>
    </row>
    <row r="275" spans="1:5" ht="12.75">
      <c r="A275" s="16" t="s">
        <v>500</v>
      </c>
      <c r="B275" s="4" t="s">
        <v>727</v>
      </c>
      <c r="C275" s="4" t="s">
        <v>662</v>
      </c>
      <c r="D275" s="4" t="s">
        <v>753</v>
      </c>
      <c r="E275" s="20" t="s">
        <v>754</v>
      </c>
    </row>
    <row r="276" spans="1:5" ht="12.75">
      <c r="A276" s="16" t="s">
        <v>492</v>
      </c>
      <c r="B276" s="4" t="s">
        <v>633</v>
      </c>
      <c r="C276" s="4" t="s">
        <v>662</v>
      </c>
      <c r="D276" s="4" t="s">
        <v>755</v>
      </c>
      <c r="E276" s="20" t="s">
        <v>756</v>
      </c>
    </row>
    <row r="277" spans="1:5" ht="12.75">
      <c r="A277" s="16" t="s">
        <v>533</v>
      </c>
      <c r="B277" s="4" t="s">
        <v>633</v>
      </c>
      <c r="C277" s="4" t="s">
        <v>649</v>
      </c>
      <c r="D277" s="4" t="s">
        <v>757</v>
      </c>
      <c r="E277" s="20" t="s">
        <v>758</v>
      </c>
    </row>
  </sheetData>
  <sheetProtection/>
  <mergeCells count="31">
    <mergeCell ref="A149:T149"/>
    <mergeCell ref="A160:T160"/>
    <mergeCell ref="A166:T166"/>
    <mergeCell ref="A57:T57"/>
    <mergeCell ref="A67:T67"/>
    <mergeCell ref="A75:T75"/>
    <mergeCell ref="A87:T87"/>
    <mergeCell ref="A110:T110"/>
    <mergeCell ref="A138:T138"/>
    <mergeCell ref="A19:T19"/>
    <mergeCell ref="A26:T26"/>
    <mergeCell ref="A33:T33"/>
    <mergeCell ref="A43:T43"/>
    <mergeCell ref="A47:T47"/>
    <mergeCell ref="A53:T53"/>
    <mergeCell ref="S3:S4"/>
    <mergeCell ref="T3:T4"/>
    <mergeCell ref="U3:U4"/>
    <mergeCell ref="A5:T5"/>
    <mergeCell ref="A8:T8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1"/>
  <sheetViews>
    <sheetView zoomScale="101" zoomScaleNormal="101" zoomScalePageLayoutView="0" workbookViewId="0" topLeftCell="A1">
      <selection activeCell="A1" sqref="A1:M1"/>
    </sheetView>
  </sheetViews>
  <sheetFormatPr defaultColWidth="11.375" defaultRowHeight="12.75"/>
  <cols>
    <col min="1" max="1" width="22.875" style="0" customWidth="1"/>
    <col min="2" max="2" width="21.25390625" style="0" customWidth="1"/>
    <col min="3" max="3" width="12.125" style="0" customWidth="1"/>
    <col min="4" max="4" width="11.375" style="0" customWidth="1"/>
    <col min="5" max="5" width="13.25390625" style="0" customWidth="1"/>
    <col min="6" max="6" width="30.125" style="0" customWidth="1"/>
    <col min="7" max="7" width="6.875" style="0" customWidth="1"/>
    <col min="8" max="9" width="7.125" style="0" customWidth="1"/>
    <col min="10" max="10" width="7.75390625" style="0" customWidth="1"/>
    <col min="11" max="12" width="11.375" style="0" customWidth="1"/>
    <col min="13" max="13" width="22.875" style="0" customWidth="1"/>
  </cols>
  <sheetData>
    <row r="1" spans="1:13" ht="57.75" customHeight="1">
      <c r="A1" s="125" t="s">
        <v>3474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30.75" thickBot="1">
      <c r="A2" s="128" t="s">
        <v>3200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27" customHeight="1">
      <c r="A3" s="135" t="s">
        <v>0</v>
      </c>
      <c r="B3" s="137" t="s">
        <v>3201</v>
      </c>
      <c r="C3" s="137" t="s">
        <v>3202</v>
      </c>
      <c r="D3" s="123" t="s">
        <v>8</v>
      </c>
      <c r="E3" s="123" t="s">
        <v>3203</v>
      </c>
      <c r="F3" s="123" t="s">
        <v>1491</v>
      </c>
      <c r="G3" s="120" t="s">
        <v>3</v>
      </c>
      <c r="H3" s="121"/>
      <c r="I3" s="121"/>
      <c r="J3" s="122"/>
      <c r="K3" s="123" t="s">
        <v>3204</v>
      </c>
      <c r="L3" s="123" t="s">
        <v>6</v>
      </c>
      <c r="M3" s="118" t="s">
        <v>5</v>
      </c>
    </row>
    <row r="4" spans="1:13" ht="15" thickBot="1">
      <c r="A4" s="136"/>
      <c r="B4" s="138"/>
      <c r="C4" s="138"/>
      <c r="D4" s="124"/>
      <c r="E4" s="124"/>
      <c r="F4" s="124"/>
      <c r="G4" s="28" t="s">
        <v>1585</v>
      </c>
      <c r="H4" s="28" t="s">
        <v>1586</v>
      </c>
      <c r="I4" s="28" t="s">
        <v>1587</v>
      </c>
      <c r="J4" s="28" t="s">
        <v>7</v>
      </c>
      <c r="K4" s="124"/>
      <c r="L4" s="124"/>
      <c r="M4" s="119"/>
    </row>
    <row r="5" spans="1:13" ht="15">
      <c r="A5" s="134" t="s">
        <v>14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4"/>
    </row>
    <row r="6" spans="1:13" ht="12.75">
      <c r="A6" s="5" t="s">
        <v>3475</v>
      </c>
      <c r="B6" s="54" t="s">
        <v>3476</v>
      </c>
      <c r="C6" s="54" t="s">
        <v>3477</v>
      </c>
      <c r="D6" s="54" t="s">
        <v>3478</v>
      </c>
      <c r="E6" s="54" t="s">
        <v>16</v>
      </c>
      <c r="F6" s="54" t="s">
        <v>258</v>
      </c>
      <c r="G6" s="54" t="s">
        <v>42</v>
      </c>
      <c r="H6" s="54" t="s">
        <v>399</v>
      </c>
      <c r="I6" s="55" t="s">
        <v>537</v>
      </c>
      <c r="J6" s="55" t="s">
        <v>537</v>
      </c>
      <c r="K6" s="54" t="s">
        <v>399</v>
      </c>
      <c r="L6" s="54" t="s">
        <v>3479</v>
      </c>
      <c r="M6" s="54" t="s">
        <v>3480</v>
      </c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134" t="s">
        <v>21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4"/>
    </row>
    <row r="9" spans="1:13" ht="12.75">
      <c r="A9" s="5" t="s">
        <v>3205</v>
      </c>
      <c r="B9" s="54" t="s">
        <v>3206</v>
      </c>
      <c r="C9" s="54" t="s">
        <v>3207</v>
      </c>
      <c r="D9" s="54" t="s">
        <v>3208</v>
      </c>
      <c r="E9" s="54" t="s">
        <v>23</v>
      </c>
      <c r="F9" s="54" t="s">
        <v>1715</v>
      </c>
      <c r="G9" s="54" t="s">
        <v>2299</v>
      </c>
      <c r="H9" s="55"/>
      <c r="I9" s="55"/>
      <c r="J9" s="55"/>
      <c r="K9" s="54">
        <v>185</v>
      </c>
      <c r="L9" s="54" t="s">
        <v>3571</v>
      </c>
      <c r="M9" s="54" t="s">
        <v>3209</v>
      </c>
    </row>
    <row r="10" spans="1:1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">
      <c r="A11" s="134" t="s">
        <v>32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4"/>
    </row>
    <row r="12" spans="1:13" ht="12.75">
      <c r="A12" s="7" t="s">
        <v>3218</v>
      </c>
      <c r="B12" s="25" t="s">
        <v>3219</v>
      </c>
      <c r="C12" s="25" t="s">
        <v>2060</v>
      </c>
      <c r="D12" s="25" t="s">
        <v>2061</v>
      </c>
      <c r="E12" s="25" t="s">
        <v>16</v>
      </c>
      <c r="F12" s="25" t="s">
        <v>521</v>
      </c>
      <c r="G12" s="25" t="s">
        <v>63</v>
      </c>
      <c r="H12" s="51"/>
      <c r="I12" s="51"/>
      <c r="J12" s="51"/>
      <c r="K12" s="25" t="s">
        <v>2511</v>
      </c>
      <c r="L12" s="25" t="s">
        <v>3481</v>
      </c>
      <c r="M12" s="25" t="s">
        <v>3209</v>
      </c>
    </row>
    <row r="13" spans="1:13" ht="12.75">
      <c r="A13" s="9" t="s">
        <v>3210</v>
      </c>
      <c r="B13" s="22" t="s">
        <v>3211</v>
      </c>
      <c r="C13" s="22" t="s">
        <v>1311</v>
      </c>
      <c r="D13" s="22" t="s">
        <v>3212</v>
      </c>
      <c r="E13" s="22" t="s">
        <v>78</v>
      </c>
      <c r="F13" s="22" t="s">
        <v>3213</v>
      </c>
      <c r="G13" s="22" t="s">
        <v>370</v>
      </c>
      <c r="H13" s="52"/>
      <c r="I13" s="52"/>
      <c r="J13" s="52"/>
      <c r="K13" s="22" t="s">
        <v>370</v>
      </c>
      <c r="L13" s="22" t="s">
        <v>3482</v>
      </c>
      <c r="M13" s="22" t="s">
        <v>3209</v>
      </c>
    </row>
    <row r="14" spans="1:13" ht="12.75">
      <c r="A14" s="9" t="s">
        <v>3483</v>
      </c>
      <c r="B14" s="22" t="s">
        <v>3484</v>
      </c>
      <c r="C14" s="22" t="s">
        <v>2060</v>
      </c>
      <c r="D14" s="22" t="s">
        <v>2061</v>
      </c>
      <c r="E14" s="22" t="s">
        <v>3485</v>
      </c>
      <c r="F14" s="22" t="s">
        <v>1497</v>
      </c>
      <c r="G14" s="22" t="s">
        <v>43</v>
      </c>
      <c r="H14" s="22" t="s">
        <v>284</v>
      </c>
      <c r="I14" s="52" t="s">
        <v>56</v>
      </c>
      <c r="J14" s="52"/>
      <c r="K14" s="22" t="s">
        <v>284</v>
      </c>
      <c r="L14" s="22" t="s">
        <v>3486</v>
      </c>
      <c r="M14" s="22" t="s">
        <v>3209</v>
      </c>
    </row>
    <row r="15" spans="1:13" ht="12.75">
      <c r="A15" s="11" t="s">
        <v>3487</v>
      </c>
      <c r="B15" s="26" t="s">
        <v>3488</v>
      </c>
      <c r="C15" s="26" t="s">
        <v>277</v>
      </c>
      <c r="D15" s="26" t="s">
        <v>3489</v>
      </c>
      <c r="E15" s="26" t="s">
        <v>16</v>
      </c>
      <c r="F15" s="26" t="s">
        <v>1492</v>
      </c>
      <c r="G15" s="53" t="s">
        <v>48</v>
      </c>
      <c r="H15" s="26" t="s">
        <v>48</v>
      </c>
      <c r="I15" s="26" t="s">
        <v>44</v>
      </c>
      <c r="J15" s="53" t="s">
        <v>56</v>
      </c>
      <c r="K15" s="26" t="s">
        <v>2230</v>
      </c>
      <c r="L15" s="26" t="s">
        <v>3490</v>
      </c>
      <c r="M15" s="26" t="s">
        <v>3209</v>
      </c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134" t="s">
        <v>40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4"/>
    </row>
    <row r="18" spans="1:13" ht="12.75">
      <c r="A18" s="5" t="s">
        <v>3350</v>
      </c>
      <c r="B18" s="54" t="s">
        <v>3351</v>
      </c>
      <c r="C18" s="54" t="s">
        <v>3352</v>
      </c>
      <c r="D18" s="54" t="s">
        <v>3353</v>
      </c>
      <c r="E18" s="54" t="s">
        <v>1571</v>
      </c>
      <c r="F18" s="54" t="s">
        <v>3491</v>
      </c>
      <c r="G18" s="54" t="s">
        <v>57</v>
      </c>
      <c r="H18" s="54" t="s">
        <v>74</v>
      </c>
      <c r="I18" s="55" t="s">
        <v>468</v>
      </c>
      <c r="J18" s="55" t="s">
        <v>468</v>
      </c>
      <c r="K18" s="54" t="s">
        <v>2802</v>
      </c>
      <c r="L18" s="54" t="s">
        <v>3492</v>
      </c>
      <c r="M18" s="54" t="s">
        <v>2594</v>
      </c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s="134" t="s">
        <v>94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4"/>
    </row>
    <row r="21" spans="1:13" ht="12.75">
      <c r="A21" s="5" t="s">
        <v>3361</v>
      </c>
      <c r="B21" s="54" t="s">
        <v>3362</v>
      </c>
      <c r="C21" s="54" t="s">
        <v>1830</v>
      </c>
      <c r="D21" s="54" t="s">
        <v>3363</v>
      </c>
      <c r="E21" s="54" t="s">
        <v>16</v>
      </c>
      <c r="F21" s="54" t="s">
        <v>1532</v>
      </c>
      <c r="G21" s="54" t="s">
        <v>44</v>
      </c>
      <c r="H21" s="54" t="s">
        <v>88</v>
      </c>
      <c r="I21" s="55" t="s">
        <v>113</v>
      </c>
      <c r="J21" s="55" t="s">
        <v>113</v>
      </c>
      <c r="K21" s="54" t="s">
        <v>2251</v>
      </c>
      <c r="L21" s="54" t="s">
        <v>3493</v>
      </c>
      <c r="M21" s="54" t="s">
        <v>3365</v>
      </c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134" t="s">
        <v>51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4"/>
    </row>
    <row r="24" spans="1:13" ht="12.75">
      <c r="A24" s="5" t="s">
        <v>3236</v>
      </c>
      <c r="B24" s="54" t="s">
        <v>3237</v>
      </c>
      <c r="C24" s="54" t="s">
        <v>1125</v>
      </c>
      <c r="D24" s="54" t="s">
        <v>3238</v>
      </c>
      <c r="E24" s="54" t="s">
        <v>16</v>
      </c>
      <c r="F24" s="54" t="s">
        <v>108</v>
      </c>
      <c r="G24" s="54" t="s">
        <v>67</v>
      </c>
      <c r="H24" s="55"/>
      <c r="I24" s="55"/>
      <c r="J24" s="55"/>
      <c r="K24" s="54" t="s">
        <v>67</v>
      </c>
      <c r="L24" s="54" t="s">
        <v>3494</v>
      </c>
      <c r="M24" s="54" t="s">
        <v>3495</v>
      </c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134" t="s">
        <v>28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4"/>
    </row>
    <row r="27" spans="1:13" ht="12.75">
      <c r="A27" s="5" t="s">
        <v>3496</v>
      </c>
      <c r="B27" s="54" t="s">
        <v>3497</v>
      </c>
      <c r="C27" s="54" t="s">
        <v>29</v>
      </c>
      <c r="D27" s="54" t="s">
        <v>3498</v>
      </c>
      <c r="E27" s="54" t="s">
        <v>3499</v>
      </c>
      <c r="F27" s="54" t="s">
        <v>3500</v>
      </c>
      <c r="G27" s="54" t="s">
        <v>116</v>
      </c>
      <c r="H27" s="55" t="s">
        <v>446</v>
      </c>
      <c r="I27" s="55" t="s">
        <v>446</v>
      </c>
      <c r="J27" s="55"/>
      <c r="K27" s="54" t="s">
        <v>2628</v>
      </c>
      <c r="L27" s="54" t="s">
        <v>3501</v>
      </c>
      <c r="M27" s="54" t="s">
        <v>3209</v>
      </c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134" t="s">
        <v>46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4"/>
    </row>
    <row r="30" spans="1:13" ht="12.75">
      <c r="A30" s="5" t="s">
        <v>3502</v>
      </c>
      <c r="B30" s="54" t="s">
        <v>3503</v>
      </c>
      <c r="C30" s="54" t="s">
        <v>62</v>
      </c>
      <c r="D30" s="54" t="s">
        <v>1735</v>
      </c>
      <c r="E30" s="54" t="s">
        <v>16</v>
      </c>
      <c r="F30" s="54" t="s">
        <v>3504</v>
      </c>
      <c r="G30" s="55" t="s">
        <v>2540</v>
      </c>
      <c r="H30" s="55" t="s">
        <v>2656</v>
      </c>
      <c r="I30" s="55" t="s">
        <v>2541</v>
      </c>
      <c r="J30" s="55" t="s">
        <v>2541</v>
      </c>
      <c r="K30" s="54" t="s">
        <v>2050</v>
      </c>
      <c r="L30" s="54" t="s">
        <v>1636</v>
      </c>
      <c r="M30" s="54" t="s">
        <v>3209</v>
      </c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134" t="s">
        <v>94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4"/>
    </row>
    <row r="33" spans="1:13" ht="12.75">
      <c r="A33" s="5" t="s">
        <v>2538</v>
      </c>
      <c r="B33" s="54" t="s">
        <v>2539</v>
      </c>
      <c r="C33" s="54" t="s">
        <v>383</v>
      </c>
      <c r="D33" s="54" t="s">
        <v>2268</v>
      </c>
      <c r="E33" s="54" t="s">
        <v>16</v>
      </c>
      <c r="F33" s="54" t="s">
        <v>126</v>
      </c>
      <c r="G33" s="54" t="s">
        <v>2541</v>
      </c>
      <c r="H33" s="55"/>
      <c r="I33" s="55"/>
      <c r="J33" s="55"/>
      <c r="K33" s="54" t="s">
        <v>2543</v>
      </c>
      <c r="L33" s="54" t="s">
        <v>2544</v>
      </c>
      <c r="M33" s="54" t="s">
        <v>3209</v>
      </c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134" t="s">
        <v>136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4"/>
    </row>
    <row r="36" spans="1:13" ht="12.75">
      <c r="A36" s="7" t="s">
        <v>3505</v>
      </c>
      <c r="B36" s="25" t="s">
        <v>3506</v>
      </c>
      <c r="C36" s="25" t="s">
        <v>1154</v>
      </c>
      <c r="D36" s="25" t="s">
        <v>3507</v>
      </c>
      <c r="E36" s="25" t="s">
        <v>16</v>
      </c>
      <c r="F36" s="25" t="s">
        <v>3508</v>
      </c>
      <c r="G36" s="25" t="s">
        <v>3509</v>
      </c>
      <c r="H36" s="51" t="s">
        <v>3510</v>
      </c>
      <c r="I36" s="51" t="s">
        <v>3510</v>
      </c>
      <c r="J36" s="51" t="s">
        <v>3510</v>
      </c>
      <c r="K36" s="25" t="s">
        <v>3511</v>
      </c>
      <c r="L36" s="25" t="s">
        <v>3512</v>
      </c>
      <c r="M36" s="25" t="s">
        <v>3209</v>
      </c>
    </row>
    <row r="37" spans="1:13" ht="12.75">
      <c r="A37" s="11" t="s">
        <v>3513</v>
      </c>
      <c r="B37" s="26" t="s">
        <v>3514</v>
      </c>
      <c r="C37" s="26" t="s">
        <v>1121</v>
      </c>
      <c r="D37" s="26" t="s">
        <v>2997</v>
      </c>
      <c r="E37" s="26" t="s">
        <v>16</v>
      </c>
      <c r="F37" s="26" t="s">
        <v>1012</v>
      </c>
      <c r="G37" s="26" t="s">
        <v>2542</v>
      </c>
      <c r="H37" s="26" t="s">
        <v>3138</v>
      </c>
      <c r="I37" s="53" t="s">
        <v>652</v>
      </c>
      <c r="J37" s="26" t="s">
        <v>3188</v>
      </c>
      <c r="K37" s="26" t="s">
        <v>3515</v>
      </c>
      <c r="L37" s="26" t="s">
        <v>3516</v>
      </c>
      <c r="M37" s="26" t="s">
        <v>3517</v>
      </c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134" t="s">
        <v>138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4"/>
    </row>
    <row r="40" spans="1:13" ht="12.75">
      <c r="A40" s="7" t="s">
        <v>3518</v>
      </c>
      <c r="B40" s="25" t="s">
        <v>3519</v>
      </c>
      <c r="C40" s="25" t="s">
        <v>3520</v>
      </c>
      <c r="D40" s="25" t="s">
        <v>3521</v>
      </c>
      <c r="E40" s="25" t="s">
        <v>3522</v>
      </c>
      <c r="F40" s="25" t="s">
        <v>3313</v>
      </c>
      <c r="G40" s="25" t="s">
        <v>3138</v>
      </c>
      <c r="H40" s="25" t="s">
        <v>3153</v>
      </c>
      <c r="I40" s="51" t="s">
        <v>3287</v>
      </c>
      <c r="J40" s="51" t="s">
        <v>3287</v>
      </c>
      <c r="K40" s="25" t="s">
        <v>3523</v>
      </c>
      <c r="L40" s="25" t="s">
        <v>3524</v>
      </c>
      <c r="M40" s="25" t="s">
        <v>3209</v>
      </c>
    </row>
    <row r="41" spans="1:13" ht="12.75">
      <c r="A41" s="9" t="s">
        <v>3525</v>
      </c>
      <c r="B41" s="22" t="s">
        <v>3526</v>
      </c>
      <c r="C41" s="22" t="s">
        <v>3527</v>
      </c>
      <c r="D41" s="22" t="s">
        <v>3528</v>
      </c>
      <c r="E41" s="22" t="s">
        <v>16</v>
      </c>
      <c r="F41" s="22" t="s">
        <v>3508</v>
      </c>
      <c r="G41" s="22" t="s">
        <v>2542</v>
      </c>
      <c r="H41" s="22" t="s">
        <v>3138</v>
      </c>
      <c r="I41" s="52" t="s">
        <v>652</v>
      </c>
      <c r="J41" s="52" t="s">
        <v>652</v>
      </c>
      <c r="K41" s="22" t="s">
        <v>3529</v>
      </c>
      <c r="L41" s="22" t="s">
        <v>3530</v>
      </c>
      <c r="M41" s="22" t="s">
        <v>3209</v>
      </c>
    </row>
    <row r="42" spans="1:13" ht="12.75">
      <c r="A42" s="9" t="s">
        <v>3531</v>
      </c>
      <c r="B42" s="22" t="s">
        <v>3532</v>
      </c>
      <c r="C42" s="22" t="s">
        <v>2910</v>
      </c>
      <c r="D42" s="22" t="s">
        <v>2911</v>
      </c>
      <c r="E42" s="22" t="s">
        <v>16</v>
      </c>
      <c r="F42" s="22" t="s">
        <v>364</v>
      </c>
      <c r="G42" s="22" t="s">
        <v>2541</v>
      </c>
      <c r="H42" s="22" t="s">
        <v>2719</v>
      </c>
      <c r="I42" s="52" t="s">
        <v>652</v>
      </c>
      <c r="J42" s="52" t="s">
        <v>3188</v>
      </c>
      <c r="K42" s="22" t="s">
        <v>2720</v>
      </c>
      <c r="L42" s="22" t="s">
        <v>3533</v>
      </c>
      <c r="M42" s="22" t="s">
        <v>3209</v>
      </c>
    </row>
    <row r="43" spans="1:13" ht="12.75">
      <c r="A43" s="11" t="s">
        <v>3534</v>
      </c>
      <c r="B43" s="26" t="s">
        <v>2874</v>
      </c>
      <c r="C43" s="26" t="s">
        <v>3097</v>
      </c>
      <c r="D43" s="26" t="s">
        <v>3098</v>
      </c>
      <c r="E43" s="26" t="s">
        <v>78</v>
      </c>
      <c r="F43" s="26" t="s">
        <v>3535</v>
      </c>
      <c r="G43" s="53" t="s">
        <v>2542</v>
      </c>
      <c r="H43" s="26" t="s">
        <v>2542</v>
      </c>
      <c r="I43" s="53" t="s">
        <v>3188</v>
      </c>
      <c r="J43" s="53"/>
      <c r="K43" s="26" t="s">
        <v>3536</v>
      </c>
      <c r="L43" s="26" t="s">
        <v>3537</v>
      </c>
      <c r="M43" s="26" t="s">
        <v>3209</v>
      </c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>
      <c r="A45" s="134" t="s">
        <v>576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4"/>
    </row>
    <row r="46" spans="1:13" ht="12.75">
      <c r="A46" s="7" t="s">
        <v>3538</v>
      </c>
      <c r="B46" s="25" t="s">
        <v>3539</v>
      </c>
      <c r="C46" s="25" t="s">
        <v>3540</v>
      </c>
      <c r="D46" s="25" t="s">
        <v>3541</v>
      </c>
      <c r="E46" s="25" t="s">
        <v>3376</v>
      </c>
      <c r="F46" s="25" t="s">
        <v>3377</v>
      </c>
      <c r="G46" s="25" t="s">
        <v>2586</v>
      </c>
      <c r="H46" s="25" t="s">
        <v>3138</v>
      </c>
      <c r="I46" s="25" t="s">
        <v>3188</v>
      </c>
      <c r="J46" s="51" t="s">
        <v>3157</v>
      </c>
      <c r="K46" s="25" t="s">
        <v>3515</v>
      </c>
      <c r="L46" s="25" t="s">
        <v>3542</v>
      </c>
      <c r="M46" s="25" t="s">
        <v>3209</v>
      </c>
    </row>
    <row r="47" spans="1:13" ht="12.75">
      <c r="A47" s="9" t="s">
        <v>3543</v>
      </c>
      <c r="B47" s="22" t="s">
        <v>3544</v>
      </c>
      <c r="C47" s="22" t="s">
        <v>3545</v>
      </c>
      <c r="D47" s="22" t="s">
        <v>3443</v>
      </c>
      <c r="E47" s="22" t="s">
        <v>16</v>
      </c>
      <c r="F47" s="22" t="s">
        <v>124</v>
      </c>
      <c r="G47" s="22" t="s">
        <v>3153</v>
      </c>
      <c r="H47" s="52" t="s">
        <v>3509</v>
      </c>
      <c r="I47" s="52" t="s">
        <v>3509</v>
      </c>
      <c r="J47" s="52" t="s">
        <v>3509</v>
      </c>
      <c r="K47" s="22" t="s">
        <v>3523</v>
      </c>
      <c r="L47" s="22" t="s">
        <v>3546</v>
      </c>
      <c r="M47" s="22" t="s">
        <v>3209</v>
      </c>
    </row>
    <row r="48" spans="1:13" ht="12.75">
      <c r="A48" s="11" t="s">
        <v>3547</v>
      </c>
      <c r="B48" s="26" t="s">
        <v>3548</v>
      </c>
      <c r="C48" s="26" t="s">
        <v>3549</v>
      </c>
      <c r="D48" s="26" t="s">
        <v>3550</v>
      </c>
      <c r="E48" s="26" t="s">
        <v>78</v>
      </c>
      <c r="F48" s="26" t="s">
        <v>3551</v>
      </c>
      <c r="G48" s="26" t="s">
        <v>2541</v>
      </c>
      <c r="H48" s="53" t="s">
        <v>3138</v>
      </c>
      <c r="I48" s="53" t="s">
        <v>3138</v>
      </c>
      <c r="J48" s="53"/>
      <c r="K48" s="26" t="s">
        <v>2543</v>
      </c>
      <c r="L48" s="26" t="s">
        <v>3552</v>
      </c>
      <c r="M48" s="26" t="s">
        <v>3209</v>
      </c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134" t="s">
        <v>591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4"/>
    </row>
    <row r="51" spans="1:13" ht="12.75">
      <c r="A51" s="5" t="s">
        <v>3553</v>
      </c>
      <c r="B51" s="54" t="s">
        <v>2254</v>
      </c>
      <c r="C51" s="54" t="s">
        <v>3554</v>
      </c>
      <c r="D51" s="54" t="s">
        <v>3555</v>
      </c>
      <c r="E51" s="54" t="s">
        <v>16</v>
      </c>
      <c r="F51" s="54" t="s">
        <v>126</v>
      </c>
      <c r="G51" s="54" t="s">
        <v>3138</v>
      </c>
      <c r="H51" s="54" t="s">
        <v>3188</v>
      </c>
      <c r="I51" s="55" t="s">
        <v>3157</v>
      </c>
      <c r="J51" s="55"/>
      <c r="K51" s="54" t="s">
        <v>3515</v>
      </c>
      <c r="L51" s="54" t="s">
        <v>3556</v>
      </c>
      <c r="M51" s="54" t="s">
        <v>3209</v>
      </c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8">
      <c r="A53" s="14" t="s">
        <v>140</v>
      </c>
      <c r="B53" s="1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15" t="s">
        <v>595</v>
      </c>
      <c r="B54" s="1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4.25">
      <c r="A55" s="17"/>
      <c r="B55" s="18" t="s">
        <v>3313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19" t="s">
        <v>597</v>
      </c>
      <c r="B56" s="39" t="s">
        <v>598</v>
      </c>
      <c r="C56" s="39" t="s">
        <v>599</v>
      </c>
      <c r="D56" s="39" t="s">
        <v>600</v>
      </c>
      <c r="E56" s="39" t="s">
        <v>601</v>
      </c>
      <c r="F56" s="4"/>
      <c r="G56" s="4"/>
      <c r="H56" s="4"/>
      <c r="I56" s="4"/>
      <c r="J56" s="4"/>
      <c r="K56" s="4"/>
      <c r="L56" s="4"/>
      <c r="M56" s="4"/>
    </row>
    <row r="57" spans="1:13" ht="12.75">
      <c r="A57" s="16" t="s">
        <v>3218</v>
      </c>
      <c r="B57" s="4" t="s">
        <v>3314</v>
      </c>
      <c r="C57" s="4" t="s">
        <v>2773</v>
      </c>
      <c r="D57" s="4" t="s">
        <v>63</v>
      </c>
      <c r="E57" s="20" t="s">
        <v>3481</v>
      </c>
      <c r="F57" s="4"/>
      <c r="G57" s="4"/>
      <c r="H57" s="4"/>
      <c r="I57" s="4"/>
      <c r="J57" s="4"/>
      <c r="K57" s="4"/>
      <c r="L57" s="4"/>
      <c r="M57" s="4"/>
    </row>
    <row r="58" spans="1:13" ht="12.75">
      <c r="A58" s="16" t="s">
        <v>3210</v>
      </c>
      <c r="B58" s="4" t="s">
        <v>3314</v>
      </c>
      <c r="C58" s="4" t="s">
        <v>2773</v>
      </c>
      <c r="D58" s="4" t="s">
        <v>370</v>
      </c>
      <c r="E58" s="20" t="s">
        <v>3482</v>
      </c>
      <c r="F58" s="4"/>
      <c r="G58" s="4"/>
      <c r="H58" s="4"/>
      <c r="I58" s="4"/>
      <c r="J58" s="4"/>
      <c r="K58" s="4"/>
      <c r="L58" s="4"/>
      <c r="M58" s="4"/>
    </row>
    <row r="59" spans="1:13" ht="12.75">
      <c r="A59" s="16" t="s">
        <v>3475</v>
      </c>
      <c r="B59" s="4" t="s">
        <v>3314</v>
      </c>
      <c r="C59" s="4" t="s">
        <v>614</v>
      </c>
      <c r="D59" s="4" t="s">
        <v>399</v>
      </c>
      <c r="E59" s="20" t="s">
        <v>3479</v>
      </c>
      <c r="F59" s="4"/>
      <c r="G59" s="4"/>
      <c r="H59" s="4"/>
      <c r="I59" s="4"/>
      <c r="J59" s="4"/>
      <c r="K59" s="4"/>
      <c r="L59" s="4"/>
      <c r="M59" s="4"/>
    </row>
    <row r="60" spans="1:13" ht="12.75">
      <c r="A60" s="16" t="s">
        <v>3350</v>
      </c>
      <c r="B60" s="4" t="s">
        <v>3314</v>
      </c>
      <c r="C60" s="4" t="s">
        <v>606</v>
      </c>
      <c r="D60" s="4" t="s">
        <v>74</v>
      </c>
      <c r="E60" s="20" t="s">
        <v>3492</v>
      </c>
      <c r="F60" s="4"/>
      <c r="G60" s="4"/>
      <c r="H60" s="4"/>
      <c r="I60" s="4"/>
      <c r="J60" s="4"/>
      <c r="K60" s="4"/>
      <c r="L60" s="4"/>
      <c r="M60" s="4"/>
    </row>
    <row r="61" spans="1:13" ht="12.75">
      <c r="A61" s="16" t="s">
        <v>3205</v>
      </c>
      <c r="B61" s="4" t="s">
        <v>3314</v>
      </c>
      <c r="C61" s="4" t="s">
        <v>618</v>
      </c>
      <c r="D61" s="4" t="s">
        <v>2299</v>
      </c>
      <c r="E61" s="20">
        <v>218.596</v>
      </c>
      <c r="F61" s="4"/>
      <c r="G61" s="4"/>
      <c r="H61" s="4"/>
      <c r="I61" s="4"/>
      <c r="J61" s="4"/>
      <c r="K61" s="4"/>
      <c r="L61" s="4"/>
      <c r="M61" s="4"/>
    </row>
    <row r="62" spans="1:13" ht="12.75">
      <c r="A62" s="16" t="s">
        <v>3236</v>
      </c>
      <c r="B62" s="4" t="s">
        <v>3314</v>
      </c>
      <c r="C62" s="4" t="s">
        <v>1211</v>
      </c>
      <c r="D62" s="4" t="s">
        <v>67</v>
      </c>
      <c r="E62" s="20" t="s">
        <v>3494</v>
      </c>
      <c r="F62" s="4"/>
      <c r="G62" s="4"/>
      <c r="H62" s="4"/>
      <c r="I62" s="4"/>
      <c r="J62" s="4"/>
      <c r="K62" s="4"/>
      <c r="L62" s="4"/>
      <c r="M62" s="4"/>
    </row>
    <row r="63" spans="1:13" ht="12.75">
      <c r="A63" s="16" t="s">
        <v>3487</v>
      </c>
      <c r="B63" s="4" t="s">
        <v>3314</v>
      </c>
      <c r="C63" s="4" t="s">
        <v>2773</v>
      </c>
      <c r="D63" s="4" t="s">
        <v>44</v>
      </c>
      <c r="E63" s="20" t="s">
        <v>3490</v>
      </c>
      <c r="F63" s="4"/>
      <c r="G63" s="4"/>
      <c r="H63" s="4"/>
      <c r="I63" s="4"/>
      <c r="J63" s="4"/>
      <c r="K63" s="4"/>
      <c r="L63" s="4"/>
      <c r="M63" s="4"/>
    </row>
    <row r="64" spans="1:13" ht="12.75">
      <c r="A64" s="16" t="s">
        <v>3483</v>
      </c>
      <c r="B64" s="4" t="s">
        <v>3314</v>
      </c>
      <c r="C64" s="4" t="s">
        <v>2773</v>
      </c>
      <c r="D64" s="4" t="s">
        <v>284</v>
      </c>
      <c r="E64" s="20" t="s">
        <v>3486</v>
      </c>
      <c r="F64" s="4"/>
      <c r="G64" s="4"/>
      <c r="H64" s="4"/>
      <c r="I64" s="4"/>
      <c r="J64" s="4"/>
      <c r="K64" s="4"/>
      <c r="L64" s="4"/>
      <c r="M64" s="4"/>
    </row>
    <row r="65" spans="1:13" ht="12.75">
      <c r="A65" s="16" t="s">
        <v>3361</v>
      </c>
      <c r="B65" s="4" t="s">
        <v>3314</v>
      </c>
      <c r="C65" s="4" t="s">
        <v>638</v>
      </c>
      <c r="D65" s="4" t="s">
        <v>88</v>
      </c>
      <c r="E65" s="20" t="s">
        <v>3493</v>
      </c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15" t="s">
        <v>637</v>
      </c>
      <c r="B67" s="1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4.25">
      <c r="A68" s="17"/>
      <c r="B68" s="18" t="s">
        <v>3313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19" t="s">
        <v>597</v>
      </c>
      <c r="B69" s="39" t="s">
        <v>598</v>
      </c>
      <c r="C69" s="39" t="s">
        <v>599</v>
      </c>
      <c r="D69" s="39" t="s">
        <v>600</v>
      </c>
      <c r="E69" s="39" t="s">
        <v>601</v>
      </c>
      <c r="F69" s="4"/>
      <c r="G69" s="4"/>
      <c r="H69" s="4"/>
      <c r="I69" s="4"/>
      <c r="J69" s="4"/>
      <c r="K69" s="4"/>
      <c r="L69" s="4"/>
      <c r="M69" s="4"/>
    </row>
    <row r="70" spans="1:13" ht="12.75">
      <c r="A70" s="16" t="s">
        <v>3505</v>
      </c>
      <c r="B70" s="4" t="s">
        <v>3314</v>
      </c>
      <c r="C70" s="4" t="s">
        <v>649</v>
      </c>
      <c r="D70" s="4" t="s">
        <v>3509</v>
      </c>
      <c r="E70" s="20" t="s">
        <v>3512</v>
      </c>
      <c r="F70" s="4"/>
      <c r="G70" s="4"/>
      <c r="H70" s="4"/>
      <c r="I70" s="4"/>
      <c r="J70" s="4"/>
      <c r="K70" s="4"/>
      <c r="L70" s="4"/>
      <c r="M70" s="4"/>
    </row>
    <row r="71" spans="1:13" ht="12.75">
      <c r="A71" s="16" t="s">
        <v>3513</v>
      </c>
      <c r="B71" s="4" t="s">
        <v>3314</v>
      </c>
      <c r="C71" s="4" t="s">
        <v>649</v>
      </c>
      <c r="D71" s="4" t="s">
        <v>3188</v>
      </c>
      <c r="E71" s="20" t="s">
        <v>3516</v>
      </c>
      <c r="F71" s="4"/>
      <c r="G71" s="4"/>
      <c r="H71" s="4"/>
      <c r="I71" s="4"/>
      <c r="J71" s="4"/>
      <c r="K71" s="4"/>
      <c r="L71" s="4"/>
      <c r="M71" s="4"/>
    </row>
    <row r="72" spans="1:13" ht="12.75">
      <c r="A72" s="16" t="s">
        <v>2538</v>
      </c>
      <c r="B72" s="4" t="s">
        <v>3314</v>
      </c>
      <c r="C72" s="4" t="s">
        <v>638</v>
      </c>
      <c r="D72" s="4" t="s">
        <v>2541</v>
      </c>
      <c r="E72" s="20" t="s">
        <v>2544</v>
      </c>
      <c r="F72" s="4"/>
      <c r="G72" s="4"/>
      <c r="H72" s="4"/>
      <c r="I72" s="4"/>
      <c r="J72" s="4"/>
      <c r="K72" s="4"/>
      <c r="L72" s="4"/>
      <c r="M72" s="4"/>
    </row>
    <row r="73" spans="1:13" ht="12.75">
      <c r="A73" s="16" t="s">
        <v>3518</v>
      </c>
      <c r="B73" s="4" t="s">
        <v>3314</v>
      </c>
      <c r="C73" s="4" t="s">
        <v>657</v>
      </c>
      <c r="D73" s="4" t="s">
        <v>3153</v>
      </c>
      <c r="E73" s="20" t="s">
        <v>3524</v>
      </c>
      <c r="F73" s="4"/>
      <c r="G73" s="4"/>
      <c r="H73" s="4"/>
      <c r="I73" s="4"/>
      <c r="J73" s="4"/>
      <c r="K73" s="4"/>
      <c r="L73" s="4"/>
      <c r="M73" s="4"/>
    </row>
    <row r="74" spans="1:13" ht="12.75">
      <c r="A74" s="16" t="s">
        <v>3538</v>
      </c>
      <c r="B74" s="4" t="s">
        <v>3314</v>
      </c>
      <c r="C74" s="4" t="s">
        <v>665</v>
      </c>
      <c r="D74" s="4" t="s">
        <v>3188</v>
      </c>
      <c r="E74" s="20" t="s">
        <v>3542</v>
      </c>
      <c r="F74" s="4"/>
      <c r="G74" s="4"/>
      <c r="H74" s="4"/>
      <c r="I74" s="4"/>
      <c r="J74" s="4"/>
      <c r="K74" s="4"/>
      <c r="L74" s="4"/>
      <c r="M74" s="4"/>
    </row>
    <row r="75" spans="1:13" ht="12.75">
      <c r="A75" s="16" t="s">
        <v>3496</v>
      </c>
      <c r="B75" s="4" t="s">
        <v>3314</v>
      </c>
      <c r="C75" s="4" t="s">
        <v>609</v>
      </c>
      <c r="D75" s="4" t="s">
        <v>116</v>
      </c>
      <c r="E75" s="20" t="s">
        <v>3501</v>
      </c>
      <c r="F75" s="4"/>
      <c r="G75" s="4"/>
      <c r="H75" s="4"/>
      <c r="I75" s="4"/>
      <c r="J75" s="4"/>
      <c r="K75" s="4"/>
      <c r="L75" s="4"/>
      <c r="M75" s="4"/>
    </row>
    <row r="76" spans="1:13" ht="12.75">
      <c r="A76" s="16" t="s">
        <v>3553</v>
      </c>
      <c r="B76" s="4" t="s">
        <v>3314</v>
      </c>
      <c r="C76" s="4" t="s">
        <v>704</v>
      </c>
      <c r="D76" s="4" t="s">
        <v>3188</v>
      </c>
      <c r="E76" s="20" t="s">
        <v>3556</v>
      </c>
      <c r="F76" s="4"/>
      <c r="G76" s="4"/>
      <c r="H76" s="4"/>
      <c r="I76" s="4"/>
      <c r="J76" s="4"/>
      <c r="K76" s="4"/>
      <c r="L76" s="4"/>
      <c r="M76" s="4"/>
    </row>
    <row r="77" spans="1:13" ht="12.75">
      <c r="A77" s="16" t="s">
        <v>3543</v>
      </c>
      <c r="B77" s="4" t="s">
        <v>3314</v>
      </c>
      <c r="C77" s="4" t="s">
        <v>665</v>
      </c>
      <c r="D77" s="4" t="s">
        <v>3153</v>
      </c>
      <c r="E77" s="20" t="s">
        <v>3546</v>
      </c>
      <c r="F77" s="4"/>
      <c r="G77" s="4"/>
      <c r="H77" s="4"/>
      <c r="I77" s="4"/>
      <c r="J77" s="4"/>
      <c r="K77" s="4"/>
      <c r="L77" s="4"/>
      <c r="M77" s="4"/>
    </row>
    <row r="78" spans="1:13" ht="12.75">
      <c r="A78" s="16" t="s">
        <v>3525</v>
      </c>
      <c r="B78" s="4" t="s">
        <v>3314</v>
      </c>
      <c r="C78" s="4" t="s">
        <v>657</v>
      </c>
      <c r="D78" s="4" t="s">
        <v>3138</v>
      </c>
      <c r="E78" s="20" t="s">
        <v>3530</v>
      </c>
      <c r="F78" s="4"/>
      <c r="G78" s="4"/>
      <c r="H78" s="4"/>
      <c r="I78" s="4"/>
      <c r="J78" s="4"/>
      <c r="K78" s="4"/>
      <c r="L78" s="4"/>
      <c r="M78" s="4"/>
    </row>
    <row r="79" spans="1:13" ht="12.75">
      <c r="A79" s="16" t="s">
        <v>3531</v>
      </c>
      <c r="B79" s="4" t="s">
        <v>3314</v>
      </c>
      <c r="C79" s="4" t="s">
        <v>657</v>
      </c>
      <c r="D79" s="4" t="s">
        <v>2719</v>
      </c>
      <c r="E79" s="20" t="s">
        <v>3533</v>
      </c>
      <c r="F79" s="4"/>
      <c r="G79" s="4"/>
      <c r="H79" s="4"/>
      <c r="I79" s="4"/>
      <c r="J79" s="4"/>
      <c r="K79" s="4"/>
      <c r="L79" s="4"/>
      <c r="M79" s="4"/>
    </row>
    <row r="80" spans="1:13" ht="12.75">
      <c r="A80" s="16" t="s">
        <v>3534</v>
      </c>
      <c r="B80" s="4" t="s">
        <v>3314</v>
      </c>
      <c r="C80" s="4" t="s">
        <v>657</v>
      </c>
      <c r="D80" s="4" t="s">
        <v>2542</v>
      </c>
      <c r="E80" s="20" t="s">
        <v>3537</v>
      </c>
      <c r="F80" s="4"/>
      <c r="G80" s="4"/>
      <c r="H80" s="4"/>
      <c r="I80" s="4"/>
      <c r="J80" s="4"/>
      <c r="K80" s="4"/>
      <c r="L80" s="4"/>
      <c r="M80" s="4"/>
    </row>
    <row r="81" spans="1:13" ht="12.75">
      <c r="A81" s="16" t="s">
        <v>3547</v>
      </c>
      <c r="B81" s="4" t="s">
        <v>3314</v>
      </c>
      <c r="C81" s="4" t="s">
        <v>665</v>
      </c>
      <c r="D81" s="4" t="s">
        <v>2541</v>
      </c>
      <c r="E81" s="20" t="s">
        <v>3552</v>
      </c>
      <c r="F81" s="4"/>
      <c r="G81" s="4"/>
      <c r="H81" s="4"/>
      <c r="I81" s="4"/>
      <c r="J81" s="4"/>
      <c r="K81" s="4"/>
      <c r="L81" s="4"/>
      <c r="M81" s="4"/>
    </row>
  </sheetData>
  <sheetProtection/>
  <mergeCells count="25">
    <mergeCell ref="A1:M1"/>
    <mergeCell ref="A2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35:L35"/>
    <mergeCell ref="A39:L39"/>
    <mergeCell ref="A45:L45"/>
    <mergeCell ref="A50:L50"/>
    <mergeCell ref="A17:L17"/>
    <mergeCell ref="A20:L20"/>
    <mergeCell ref="A23:L23"/>
    <mergeCell ref="A26:L26"/>
    <mergeCell ref="A29:L29"/>
    <mergeCell ref="A32:L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8"/>
  <sheetViews>
    <sheetView zoomScale="97" zoomScaleNormal="97" zoomScalePageLayoutView="0" workbookViewId="0" topLeftCell="A179">
      <selection activeCell="M194" sqref="M194"/>
    </sheetView>
  </sheetViews>
  <sheetFormatPr defaultColWidth="8.75390625" defaultRowHeight="12.75"/>
  <cols>
    <col min="1" max="1" width="26.00390625" style="4" bestFit="1" customWidth="1"/>
    <col min="2" max="2" width="29.75390625" style="4" customWidth="1"/>
    <col min="3" max="3" width="15.125" style="4" customWidth="1"/>
    <col min="4" max="4" width="8.375" style="4" bestFit="1" customWidth="1"/>
    <col min="5" max="5" width="19.875" style="4" customWidth="1"/>
    <col min="6" max="6" width="34.375" style="4" customWidth="1"/>
    <col min="7" max="9" width="5.625" style="4" bestFit="1" customWidth="1"/>
    <col min="10" max="10" width="4.625" style="4" bestFit="1" customWidth="1"/>
    <col min="11" max="11" width="7.875" style="4" bestFit="1" customWidth="1"/>
    <col min="12" max="12" width="8.625" style="4" bestFit="1" customWidth="1"/>
    <col min="13" max="13" width="21.25390625" style="4" customWidth="1"/>
  </cols>
  <sheetData>
    <row r="1" spans="1:13" s="1" customFormat="1" ht="15" customHeight="1">
      <c r="A1" s="102" t="s">
        <v>1570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1" customFormat="1" ht="111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2" customFormat="1" ht="12.75" customHeight="1">
      <c r="A3" s="108" t="s">
        <v>0</v>
      </c>
      <c r="B3" s="110" t="s">
        <v>1482</v>
      </c>
      <c r="C3" s="112" t="s">
        <v>1483</v>
      </c>
      <c r="D3" s="112" t="s">
        <v>8</v>
      </c>
      <c r="E3" s="112" t="s">
        <v>1490</v>
      </c>
      <c r="F3" s="112" t="s">
        <v>1491</v>
      </c>
      <c r="G3" s="112" t="s">
        <v>2</v>
      </c>
      <c r="H3" s="112"/>
      <c r="I3" s="112"/>
      <c r="J3" s="112"/>
      <c r="K3" s="112" t="s">
        <v>4</v>
      </c>
      <c r="L3" s="112" t="s">
        <v>6</v>
      </c>
      <c r="M3" s="113" t="s">
        <v>5</v>
      </c>
    </row>
    <row r="4" spans="1:13" s="2" customFormat="1" ht="21" customHeight="1" thickBot="1">
      <c r="A4" s="109"/>
      <c r="B4" s="111"/>
      <c r="C4" s="111"/>
      <c r="D4" s="111"/>
      <c r="E4" s="111"/>
      <c r="F4" s="111"/>
      <c r="G4" s="3">
        <v>1</v>
      </c>
      <c r="H4" s="3">
        <v>2</v>
      </c>
      <c r="I4" s="3">
        <v>3</v>
      </c>
      <c r="J4" s="3" t="s">
        <v>7</v>
      </c>
      <c r="K4" s="111"/>
      <c r="L4" s="111"/>
      <c r="M4" s="114"/>
    </row>
    <row r="5" spans="1:12" ht="15">
      <c r="A5" s="115" t="s">
        <v>148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3" ht="12.75">
      <c r="A6" s="7" t="s">
        <v>149</v>
      </c>
      <c r="B6" s="7" t="s">
        <v>150</v>
      </c>
      <c r="C6" s="7" t="s">
        <v>151</v>
      </c>
      <c r="D6" s="7" t="str">
        <f>"1,3387"</f>
        <v>1,3387</v>
      </c>
      <c r="E6" s="7" t="s">
        <v>16</v>
      </c>
      <c r="F6" s="7" t="s">
        <v>41</v>
      </c>
      <c r="G6" s="7" t="s">
        <v>152</v>
      </c>
      <c r="H6" s="7" t="s">
        <v>173</v>
      </c>
      <c r="I6" s="8" t="s">
        <v>153</v>
      </c>
      <c r="J6" s="8"/>
      <c r="K6" s="7">
        <v>50</v>
      </c>
      <c r="L6" s="7" t="str">
        <f>"66,9350"</f>
        <v>66,9350</v>
      </c>
      <c r="M6" s="7" t="s">
        <v>1545</v>
      </c>
    </row>
    <row r="7" spans="1:13" ht="12.75">
      <c r="A7" s="9" t="s">
        <v>761</v>
      </c>
      <c r="B7" s="9" t="s">
        <v>762</v>
      </c>
      <c r="C7" s="9" t="s">
        <v>763</v>
      </c>
      <c r="D7" s="9" t="str">
        <f>"1,3367"</f>
        <v>1,3367</v>
      </c>
      <c r="E7" s="9" t="s">
        <v>16</v>
      </c>
      <c r="F7" s="9" t="s">
        <v>1492</v>
      </c>
      <c r="G7" s="10" t="s">
        <v>19</v>
      </c>
      <c r="H7" s="10" t="s">
        <v>19</v>
      </c>
      <c r="I7" s="9" t="s">
        <v>19</v>
      </c>
      <c r="J7" s="10"/>
      <c r="K7" s="9">
        <v>55</v>
      </c>
      <c r="L7" s="9" t="str">
        <f>"73,5185"</f>
        <v>73,5185</v>
      </c>
      <c r="M7" s="9" t="s">
        <v>764</v>
      </c>
    </row>
    <row r="8" spans="1:13" ht="12.75">
      <c r="A8" s="11" t="s">
        <v>765</v>
      </c>
      <c r="B8" s="11" t="s">
        <v>766</v>
      </c>
      <c r="C8" s="11" t="s">
        <v>160</v>
      </c>
      <c r="D8" s="11" t="str">
        <f>"1,3346"</f>
        <v>1,3346</v>
      </c>
      <c r="E8" s="11" t="s">
        <v>16</v>
      </c>
      <c r="F8" s="11" t="s">
        <v>316</v>
      </c>
      <c r="G8" s="12" t="s">
        <v>13</v>
      </c>
      <c r="H8" s="12" t="s">
        <v>13</v>
      </c>
      <c r="I8" s="11" t="s">
        <v>13</v>
      </c>
      <c r="J8" s="12"/>
      <c r="K8" s="11">
        <v>45</v>
      </c>
      <c r="L8" s="11" t="str">
        <f>"60,0570"</f>
        <v>60,0570</v>
      </c>
      <c r="M8" s="11" t="s">
        <v>1544</v>
      </c>
    </row>
    <row r="10" spans="1:12" ht="15">
      <c r="A10" s="116" t="s">
        <v>14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3" ht="12.75">
      <c r="A11" s="7" t="s">
        <v>163</v>
      </c>
      <c r="B11" s="7" t="s">
        <v>164</v>
      </c>
      <c r="C11" s="7" t="s">
        <v>165</v>
      </c>
      <c r="D11" s="7" t="str">
        <f>"1,2635"</f>
        <v>1,2635</v>
      </c>
      <c r="E11" s="7" t="s">
        <v>16</v>
      </c>
      <c r="F11" s="7" t="s">
        <v>71</v>
      </c>
      <c r="G11" s="7" t="s">
        <v>145</v>
      </c>
      <c r="H11" s="7" t="s">
        <v>13</v>
      </c>
      <c r="I11" s="7" t="s">
        <v>173</v>
      </c>
      <c r="J11" s="8"/>
      <c r="K11" s="7">
        <v>50</v>
      </c>
      <c r="L11" s="7" t="str">
        <f>"63,1750"</f>
        <v>63,1750</v>
      </c>
      <c r="M11" s="7" t="s">
        <v>1545</v>
      </c>
    </row>
    <row r="12" spans="1:13" ht="12.75">
      <c r="A12" s="9" t="s">
        <v>767</v>
      </c>
      <c r="B12" s="9" t="s">
        <v>768</v>
      </c>
      <c r="C12" s="9" t="s">
        <v>769</v>
      </c>
      <c r="D12" s="9" t="str">
        <f>"1,2925"</f>
        <v>1,2925</v>
      </c>
      <c r="E12" s="9" t="s">
        <v>16</v>
      </c>
      <c r="F12" s="9" t="s">
        <v>118</v>
      </c>
      <c r="G12" s="9" t="s">
        <v>173</v>
      </c>
      <c r="H12" s="10" t="s">
        <v>19</v>
      </c>
      <c r="I12" s="10" t="s">
        <v>19</v>
      </c>
      <c r="J12" s="10"/>
      <c r="K12" s="9">
        <v>50</v>
      </c>
      <c r="L12" s="9" t="str">
        <f>"64,6250"</f>
        <v>64,6250</v>
      </c>
      <c r="M12" s="9" t="s">
        <v>475</v>
      </c>
    </row>
    <row r="13" spans="1:13" ht="12.75">
      <c r="A13" s="9" t="s">
        <v>770</v>
      </c>
      <c r="B13" s="9" t="s">
        <v>771</v>
      </c>
      <c r="C13" s="9" t="s">
        <v>172</v>
      </c>
      <c r="D13" s="9" t="str">
        <f>"1,2808"</f>
        <v>1,2808</v>
      </c>
      <c r="E13" s="9" t="s">
        <v>23</v>
      </c>
      <c r="F13" s="9" t="s">
        <v>1529</v>
      </c>
      <c r="G13" s="9" t="s">
        <v>37</v>
      </c>
      <c r="H13" s="10" t="s">
        <v>168</v>
      </c>
      <c r="I13" s="9" t="s">
        <v>168</v>
      </c>
      <c r="J13" s="10"/>
      <c r="K13" s="9">
        <v>77.5</v>
      </c>
      <c r="L13" s="9" t="str">
        <f>"99,2620"</f>
        <v>99,2620</v>
      </c>
      <c r="M13" s="9" t="s">
        <v>772</v>
      </c>
    </row>
    <row r="14" spans="1:13" ht="12.75">
      <c r="A14" s="11" t="s">
        <v>773</v>
      </c>
      <c r="B14" s="11" t="s">
        <v>774</v>
      </c>
      <c r="C14" s="11" t="s">
        <v>775</v>
      </c>
      <c r="D14" s="11" t="str">
        <f>"1,2522"</f>
        <v>1,2522</v>
      </c>
      <c r="E14" s="11" t="s">
        <v>16</v>
      </c>
      <c r="F14" s="11" t="s">
        <v>71</v>
      </c>
      <c r="G14" s="11" t="s">
        <v>173</v>
      </c>
      <c r="H14" s="12" t="s">
        <v>153</v>
      </c>
      <c r="I14" s="12" t="s">
        <v>153</v>
      </c>
      <c r="J14" s="12"/>
      <c r="K14" s="11">
        <v>50</v>
      </c>
      <c r="L14" s="11" t="str">
        <f>"62,6100"</f>
        <v>62,6100</v>
      </c>
      <c r="M14" s="11" t="s">
        <v>117</v>
      </c>
    </row>
    <row r="16" spans="1:12" ht="15">
      <c r="A16" s="116" t="s">
        <v>21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3" ht="12.75">
      <c r="A17" s="7" t="s">
        <v>776</v>
      </c>
      <c r="B17" s="7" t="s">
        <v>777</v>
      </c>
      <c r="C17" s="7" t="s">
        <v>778</v>
      </c>
      <c r="D17" s="7" t="str">
        <f>"1,2071"</f>
        <v>1,2071</v>
      </c>
      <c r="E17" s="7" t="s">
        <v>16</v>
      </c>
      <c r="F17" s="7" t="s">
        <v>779</v>
      </c>
      <c r="G17" s="7" t="s">
        <v>210</v>
      </c>
      <c r="H17" s="7" t="s">
        <v>780</v>
      </c>
      <c r="I17" s="8" t="s">
        <v>781</v>
      </c>
      <c r="J17" s="8"/>
      <c r="K17" s="7">
        <v>67.5</v>
      </c>
      <c r="L17" s="7" t="str">
        <f>"81,4793"</f>
        <v>81,4793</v>
      </c>
      <c r="M17" s="7" t="s">
        <v>782</v>
      </c>
    </row>
    <row r="18" spans="1:13" ht="12.75">
      <c r="A18" s="9" t="s">
        <v>783</v>
      </c>
      <c r="B18" s="9" t="s">
        <v>784</v>
      </c>
      <c r="C18" s="9" t="s">
        <v>22</v>
      </c>
      <c r="D18" s="9" t="str">
        <f>"1,1766"</f>
        <v>1,1766</v>
      </c>
      <c r="E18" s="9" t="s">
        <v>16</v>
      </c>
      <c r="F18" s="9" t="s">
        <v>1526</v>
      </c>
      <c r="G18" s="9" t="s">
        <v>153</v>
      </c>
      <c r="H18" s="9" t="s">
        <v>19</v>
      </c>
      <c r="I18" s="10" t="s">
        <v>185</v>
      </c>
      <c r="J18" s="10"/>
      <c r="K18" s="9">
        <v>55</v>
      </c>
      <c r="L18" s="9" t="str">
        <f>"64,7130"</f>
        <v>64,7130</v>
      </c>
      <c r="M18" s="9" t="s">
        <v>1546</v>
      </c>
    </row>
    <row r="19" spans="1:13" ht="12.75">
      <c r="A19" s="9" t="s">
        <v>785</v>
      </c>
      <c r="B19" s="9" t="s">
        <v>786</v>
      </c>
      <c r="C19" s="9" t="s">
        <v>787</v>
      </c>
      <c r="D19" s="9" t="str">
        <f>"1,2123"</f>
        <v>1,2123</v>
      </c>
      <c r="E19" s="9" t="s">
        <v>1485</v>
      </c>
      <c r="F19" s="9" t="s">
        <v>1529</v>
      </c>
      <c r="G19" s="9" t="s">
        <v>781</v>
      </c>
      <c r="H19" s="10" t="s">
        <v>168</v>
      </c>
      <c r="I19" s="10" t="s">
        <v>168</v>
      </c>
      <c r="J19" s="10"/>
      <c r="K19" s="9">
        <v>72.5</v>
      </c>
      <c r="L19" s="9" t="str">
        <f>"87,8917"</f>
        <v>87,8917</v>
      </c>
      <c r="M19" s="9" t="s">
        <v>788</v>
      </c>
    </row>
    <row r="20" spans="1:13" ht="12.75">
      <c r="A20" s="9" t="s">
        <v>789</v>
      </c>
      <c r="B20" s="9" t="s">
        <v>790</v>
      </c>
      <c r="C20" s="9" t="s">
        <v>791</v>
      </c>
      <c r="D20" s="9" t="str">
        <f>"1,1950"</f>
        <v>1,1950</v>
      </c>
      <c r="E20" s="9" t="s">
        <v>16</v>
      </c>
      <c r="F20" s="9" t="s">
        <v>792</v>
      </c>
      <c r="G20" s="9" t="s">
        <v>781</v>
      </c>
      <c r="H20" s="10" t="s">
        <v>37</v>
      </c>
      <c r="I20" s="10" t="s">
        <v>37</v>
      </c>
      <c r="J20" s="10"/>
      <c r="K20" s="9">
        <v>72.5</v>
      </c>
      <c r="L20" s="9" t="str">
        <f>"86,6375"</f>
        <v>86,6375</v>
      </c>
      <c r="M20" s="9" t="s">
        <v>27</v>
      </c>
    </row>
    <row r="21" spans="1:13" ht="12.75">
      <c r="A21" s="11" t="s">
        <v>793</v>
      </c>
      <c r="B21" s="11" t="s">
        <v>794</v>
      </c>
      <c r="C21" s="11" t="s">
        <v>795</v>
      </c>
      <c r="D21" s="11" t="str">
        <f>"1,1985"</f>
        <v>1,1985</v>
      </c>
      <c r="E21" s="11" t="s">
        <v>16</v>
      </c>
      <c r="F21" s="11" t="s">
        <v>1526</v>
      </c>
      <c r="G21" s="12" t="s">
        <v>19</v>
      </c>
      <c r="H21" s="12" t="s">
        <v>19</v>
      </c>
      <c r="I21" s="12" t="s">
        <v>19</v>
      </c>
      <c r="J21" s="12"/>
      <c r="K21" s="11">
        <v>0</v>
      </c>
      <c r="L21" s="11" t="str">
        <f>"0,0000"</f>
        <v>0,0000</v>
      </c>
      <c r="M21" s="11" t="s">
        <v>796</v>
      </c>
    </row>
    <row r="23" spans="1:12" ht="15">
      <c r="A23" s="116" t="s">
        <v>28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3" ht="12.75">
      <c r="A24" s="7" t="s">
        <v>797</v>
      </c>
      <c r="B24" s="7" t="s">
        <v>798</v>
      </c>
      <c r="C24" s="7" t="s">
        <v>799</v>
      </c>
      <c r="D24" s="7" t="str">
        <f>"1,1207"</f>
        <v>1,1207</v>
      </c>
      <c r="E24" s="7" t="s">
        <v>16</v>
      </c>
      <c r="F24" s="7" t="s">
        <v>1526</v>
      </c>
      <c r="G24" s="8" t="s">
        <v>780</v>
      </c>
      <c r="H24" s="7" t="s">
        <v>26</v>
      </c>
      <c r="I24" s="7" t="s">
        <v>781</v>
      </c>
      <c r="J24" s="8"/>
      <c r="K24" s="7">
        <v>72.5</v>
      </c>
      <c r="L24" s="7" t="str">
        <f>"81,2508"</f>
        <v>81,2508</v>
      </c>
      <c r="M24" s="7" t="s">
        <v>27</v>
      </c>
    </row>
    <row r="25" spans="1:13" ht="12.75">
      <c r="A25" s="9" t="s">
        <v>800</v>
      </c>
      <c r="B25" s="9" t="s">
        <v>801</v>
      </c>
      <c r="C25" s="9" t="s">
        <v>802</v>
      </c>
      <c r="D25" s="9" t="str">
        <f>"1,1251"</f>
        <v>1,1251</v>
      </c>
      <c r="E25" s="9" t="s">
        <v>1485</v>
      </c>
      <c r="F25" s="9" t="s">
        <v>1529</v>
      </c>
      <c r="G25" s="10" t="s">
        <v>31</v>
      </c>
      <c r="H25" s="10" t="s">
        <v>31</v>
      </c>
      <c r="I25" s="10" t="s">
        <v>31</v>
      </c>
      <c r="J25" s="10"/>
      <c r="K25" s="9">
        <v>0</v>
      </c>
      <c r="L25" s="9" t="str">
        <f>"0,0000"</f>
        <v>0,0000</v>
      </c>
      <c r="M25" s="9" t="s">
        <v>27</v>
      </c>
    </row>
    <row r="26" spans="1:13" ht="12.75">
      <c r="A26" s="11" t="s">
        <v>212</v>
      </c>
      <c r="B26" s="11" t="s">
        <v>213</v>
      </c>
      <c r="C26" s="11" t="s">
        <v>214</v>
      </c>
      <c r="D26" s="11" t="str">
        <f>"1,1281"</f>
        <v>1,1281</v>
      </c>
      <c r="E26" s="11" t="s">
        <v>16</v>
      </c>
      <c r="F26" s="11" t="s">
        <v>215</v>
      </c>
      <c r="G26" s="11" t="s">
        <v>19</v>
      </c>
      <c r="H26" s="12"/>
      <c r="I26" s="12"/>
      <c r="J26" s="12"/>
      <c r="K26" s="11">
        <v>55</v>
      </c>
      <c r="L26" s="11" t="str">
        <f>"62,0455"</f>
        <v>62,0455</v>
      </c>
      <c r="M26" s="11" t="s">
        <v>27</v>
      </c>
    </row>
    <row r="28" spans="1:12" ht="15">
      <c r="A28" s="116" t="s">
        <v>32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3" ht="12.75">
      <c r="A29" s="7" t="s">
        <v>803</v>
      </c>
      <c r="B29" s="7" t="s">
        <v>804</v>
      </c>
      <c r="C29" s="7" t="s">
        <v>805</v>
      </c>
      <c r="D29" s="7" t="str">
        <f>"1,0385"</f>
        <v>1,0385</v>
      </c>
      <c r="E29" s="7" t="s">
        <v>16</v>
      </c>
      <c r="F29" s="7" t="s">
        <v>134</v>
      </c>
      <c r="G29" s="7" t="s">
        <v>37</v>
      </c>
      <c r="H29" s="8" t="s">
        <v>31</v>
      </c>
      <c r="I29" s="8" t="s">
        <v>31</v>
      </c>
      <c r="J29" s="8"/>
      <c r="K29" s="7">
        <v>75</v>
      </c>
      <c r="L29" s="7" t="str">
        <f>"77,8875"</f>
        <v>77,8875</v>
      </c>
      <c r="M29" s="7" t="s">
        <v>1547</v>
      </c>
    </row>
    <row r="30" spans="1:13" ht="12.75">
      <c r="A30" s="9" t="s">
        <v>806</v>
      </c>
      <c r="B30" s="9" t="s">
        <v>807</v>
      </c>
      <c r="C30" s="9" t="s">
        <v>808</v>
      </c>
      <c r="D30" s="9" t="str">
        <f>"1,0818"</f>
        <v>1,0818</v>
      </c>
      <c r="E30" s="9" t="s">
        <v>16</v>
      </c>
      <c r="F30" s="9" t="s">
        <v>1526</v>
      </c>
      <c r="G30" s="10" t="s">
        <v>781</v>
      </c>
      <c r="H30" s="9" t="s">
        <v>781</v>
      </c>
      <c r="I30" s="9" t="s">
        <v>37</v>
      </c>
      <c r="J30" s="10"/>
      <c r="K30" s="9">
        <v>75</v>
      </c>
      <c r="L30" s="9" t="str">
        <f>"81,1350"</f>
        <v>81,1350</v>
      </c>
      <c r="M30" s="9" t="s">
        <v>27</v>
      </c>
    </row>
    <row r="31" spans="1:13" ht="12.75">
      <c r="A31" s="9" t="s">
        <v>809</v>
      </c>
      <c r="B31" s="9" t="s">
        <v>810</v>
      </c>
      <c r="C31" s="9" t="s">
        <v>811</v>
      </c>
      <c r="D31" s="9" t="str">
        <f>"1,0261"</f>
        <v>1,0261</v>
      </c>
      <c r="E31" s="9" t="s">
        <v>16</v>
      </c>
      <c r="F31" s="9" t="s">
        <v>812</v>
      </c>
      <c r="G31" s="9" t="s">
        <v>31</v>
      </c>
      <c r="H31" s="9" t="s">
        <v>144</v>
      </c>
      <c r="I31" s="9" t="s">
        <v>331</v>
      </c>
      <c r="J31" s="10"/>
      <c r="K31" s="9">
        <v>87.5</v>
      </c>
      <c r="L31" s="9" t="str">
        <f>"89,7838"</f>
        <v>89,7838</v>
      </c>
      <c r="M31" s="9" t="s">
        <v>813</v>
      </c>
    </row>
    <row r="32" spans="1:13" ht="12.75">
      <c r="A32" s="9" t="s">
        <v>814</v>
      </c>
      <c r="B32" s="9" t="s">
        <v>815</v>
      </c>
      <c r="C32" s="9" t="s">
        <v>805</v>
      </c>
      <c r="D32" s="9" t="str">
        <f>"1,0385"</f>
        <v>1,0385</v>
      </c>
      <c r="E32" s="9" t="s">
        <v>16</v>
      </c>
      <c r="F32" s="9" t="s">
        <v>1537</v>
      </c>
      <c r="G32" s="10" t="s">
        <v>31</v>
      </c>
      <c r="H32" s="9" t="s">
        <v>31</v>
      </c>
      <c r="I32" s="10" t="s">
        <v>144</v>
      </c>
      <c r="J32" s="10"/>
      <c r="K32" s="9">
        <v>80</v>
      </c>
      <c r="L32" s="9" t="str">
        <f>"83,0800"</f>
        <v>83,0800</v>
      </c>
      <c r="M32" s="9" t="s">
        <v>27</v>
      </c>
    </row>
    <row r="33" spans="1:13" ht="12.75">
      <c r="A33" s="9" t="s">
        <v>806</v>
      </c>
      <c r="B33" s="9" t="s">
        <v>816</v>
      </c>
      <c r="C33" s="9" t="s">
        <v>808</v>
      </c>
      <c r="D33" s="9" t="str">
        <f>"1,0818"</f>
        <v>1,0818</v>
      </c>
      <c r="E33" s="9" t="s">
        <v>16</v>
      </c>
      <c r="F33" s="9" t="s">
        <v>1526</v>
      </c>
      <c r="G33" s="10" t="s">
        <v>781</v>
      </c>
      <c r="H33" s="9" t="s">
        <v>781</v>
      </c>
      <c r="I33" s="9" t="s">
        <v>37</v>
      </c>
      <c r="J33" s="10"/>
      <c r="K33" s="9">
        <v>75</v>
      </c>
      <c r="L33" s="9" t="str">
        <f>"81,1350"</f>
        <v>81,1350</v>
      </c>
      <c r="M33" s="9" t="s">
        <v>27</v>
      </c>
    </row>
    <row r="34" spans="1:13" ht="12.75">
      <c r="A34" s="9" t="s">
        <v>814</v>
      </c>
      <c r="B34" s="9" t="s">
        <v>817</v>
      </c>
      <c r="C34" s="9" t="s">
        <v>805</v>
      </c>
      <c r="D34" s="9" t="str">
        <f>"1,0385"</f>
        <v>1,0385</v>
      </c>
      <c r="E34" s="9" t="s">
        <v>16</v>
      </c>
      <c r="F34" s="9" t="s">
        <v>1537</v>
      </c>
      <c r="G34" s="10" t="s">
        <v>31</v>
      </c>
      <c r="H34" s="9" t="s">
        <v>31</v>
      </c>
      <c r="I34" s="10" t="s">
        <v>144</v>
      </c>
      <c r="J34" s="10"/>
      <c r="K34" s="9">
        <v>80</v>
      </c>
      <c r="L34" s="9" t="str">
        <f>"83,4954"</f>
        <v>83,4954</v>
      </c>
      <c r="M34" s="9" t="s">
        <v>27</v>
      </c>
    </row>
    <row r="35" spans="1:13" ht="12.75">
      <c r="A35" s="9" t="s">
        <v>818</v>
      </c>
      <c r="B35" s="9" t="s">
        <v>819</v>
      </c>
      <c r="C35" s="9" t="s">
        <v>223</v>
      </c>
      <c r="D35" s="9" t="str">
        <f>"1,0539"</f>
        <v>1,0539</v>
      </c>
      <c r="E35" s="9" t="s">
        <v>16</v>
      </c>
      <c r="F35" s="9" t="s">
        <v>101</v>
      </c>
      <c r="G35" s="9" t="s">
        <v>209</v>
      </c>
      <c r="H35" s="10" t="s">
        <v>211</v>
      </c>
      <c r="I35" s="10" t="s">
        <v>211</v>
      </c>
      <c r="J35" s="10"/>
      <c r="K35" s="9">
        <v>60</v>
      </c>
      <c r="L35" s="9" t="str">
        <f>"63,5502"</f>
        <v>63,5502</v>
      </c>
      <c r="M35" s="9" t="s">
        <v>1548</v>
      </c>
    </row>
    <row r="36" spans="1:13" ht="12.75">
      <c r="A36" s="9" t="s">
        <v>244</v>
      </c>
      <c r="B36" s="9" t="s">
        <v>245</v>
      </c>
      <c r="C36" s="9" t="s">
        <v>39</v>
      </c>
      <c r="D36" s="9" t="str">
        <f>"1,0206"</f>
        <v>1,0206</v>
      </c>
      <c r="E36" s="9" t="s">
        <v>16</v>
      </c>
      <c r="F36" s="9" t="s">
        <v>820</v>
      </c>
      <c r="G36" s="9" t="s">
        <v>13</v>
      </c>
      <c r="H36" s="9" t="s">
        <v>19</v>
      </c>
      <c r="I36" s="10" t="s">
        <v>209</v>
      </c>
      <c r="J36" s="10"/>
      <c r="K36" s="9">
        <v>55</v>
      </c>
      <c r="L36" s="9" t="str">
        <f>"66,6299"</f>
        <v>66,6299</v>
      </c>
      <c r="M36" s="9" t="s">
        <v>27</v>
      </c>
    </row>
    <row r="37" spans="1:13" ht="12.75">
      <c r="A37" s="11" t="s">
        <v>821</v>
      </c>
      <c r="B37" s="11" t="s">
        <v>822</v>
      </c>
      <c r="C37" s="11" t="s">
        <v>823</v>
      </c>
      <c r="D37" s="11" t="str">
        <f>"1,0397"</f>
        <v>1,0397</v>
      </c>
      <c r="E37" s="11" t="s">
        <v>16</v>
      </c>
      <c r="F37" s="11" t="s">
        <v>1526</v>
      </c>
      <c r="G37" s="11" t="s">
        <v>13</v>
      </c>
      <c r="H37" s="11" t="s">
        <v>152</v>
      </c>
      <c r="I37" s="12" t="s">
        <v>173</v>
      </c>
      <c r="J37" s="12"/>
      <c r="K37" s="11">
        <v>47.5</v>
      </c>
      <c r="L37" s="11" t="str">
        <f>"56,7936"</f>
        <v>56,7936</v>
      </c>
      <c r="M37" s="11" t="s">
        <v>824</v>
      </c>
    </row>
    <row r="39" spans="1:12" ht="15">
      <c r="A39" s="116" t="s">
        <v>40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3" ht="12.75">
      <c r="A40" s="7" t="s">
        <v>825</v>
      </c>
      <c r="B40" s="7" t="s">
        <v>826</v>
      </c>
      <c r="C40" s="7" t="s">
        <v>827</v>
      </c>
      <c r="D40" s="7" t="str">
        <f>"0,9587"</f>
        <v>0,9587</v>
      </c>
      <c r="E40" s="7" t="s">
        <v>16</v>
      </c>
      <c r="F40" s="7" t="s">
        <v>1526</v>
      </c>
      <c r="G40" s="7" t="s">
        <v>50</v>
      </c>
      <c r="H40" s="7" t="s">
        <v>285</v>
      </c>
      <c r="I40" s="7" t="s">
        <v>17</v>
      </c>
      <c r="J40" s="8"/>
      <c r="K40" s="7">
        <v>100</v>
      </c>
      <c r="L40" s="7" t="str">
        <f>"95,8700"</f>
        <v>95,8700</v>
      </c>
      <c r="M40" s="7" t="s">
        <v>27</v>
      </c>
    </row>
    <row r="41" spans="1:13" ht="12.75">
      <c r="A41" s="11" t="s">
        <v>828</v>
      </c>
      <c r="B41" s="11" t="s">
        <v>829</v>
      </c>
      <c r="C41" s="11" t="s">
        <v>830</v>
      </c>
      <c r="D41" s="11" t="str">
        <f>"0,9797"</f>
        <v>0,9797</v>
      </c>
      <c r="E41" s="11" t="s">
        <v>16</v>
      </c>
      <c r="F41" s="11" t="s">
        <v>101</v>
      </c>
      <c r="G41" s="11" t="s">
        <v>50</v>
      </c>
      <c r="H41" s="11" t="s">
        <v>180</v>
      </c>
      <c r="I41" s="11" t="s">
        <v>285</v>
      </c>
      <c r="J41" s="12"/>
      <c r="K41" s="11">
        <v>97.5</v>
      </c>
      <c r="L41" s="11" t="str">
        <f>"95,5208"</f>
        <v>95,5208</v>
      </c>
      <c r="M41" s="11" t="s">
        <v>27</v>
      </c>
    </row>
    <row r="43" spans="1:12" ht="15">
      <c r="A43" s="116" t="s">
        <v>51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</row>
    <row r="44" spans="1:13" ht="12.75">
      <c r="A44" s="5" t="s">
        <v>831</v>
      </c>
      <c r="B44" s="5" t="s">
        <v>832</v>
      </c>
      <c r="C44" s="5" t="s">
        <v>528</v>
      </c>
      <c r="D44" s="5" t="str">
        <f>"0,8208"</f>
        <v>0,8208</v>
      </c>
      <c r="E44" s="5" t="s">
        <v>16</v>
      </c>
      <c r="F44" s="5" t="s">
        <v>833</v>
      </c>
      <c r="G44" s="5" t="s">
        <v>26</v>
      </c>
      <c r="H44" s="5" t="s">
        <v>37</v>
      </c>
      <c r="I44" s="6" t="s">
        <v>31</v>
      </c>
      <c r="J44" s="6"/>
      <c r="K44" s="5">
        <v>75</v>
      </c>
      <c r="L44" s="5" t="str">
        <f>"61,5600"</f>
        <v>61,5600</v>
      </c>
      <c r="M44" s="5" t="s">
        <v>834</v>
      </c>
    </row>
    <row r="46" spans="1:12" ht="15">
      <c r="A46" s="116" t="s">
        <v>21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3" ht="12.75">
      <c r="A47" s="7" t="s">
        <v>835</v>
      </c>
      <c r="B47" s="7" t="s">
        <v>836</v>
      </c>
      <c r="C47" s="7" t="s">
        <v>267</v>
      </c>
      <c r="D47" s="7" t="str">
        <f>"1,0016"</f>
        <v>1,0016</v>
      </c>
      <c r="E47" s="7" t="s">
        <v>16</v>
      </c>
      <c r="F47" s="7" t="s">
        <v>1526</v>
      </c>
      <c r="G47" s="7" t="s">
        <v>37</v>
      </c>
      <c r="H47" s="7" t="s">
        <v>837</v>
      </c>
      <c r="I47" s="8" t="s">
        <v>144</v>
      </c>
      <c r="J47" s="8"/>
      <c r="K47" s="7">
        <v>82.5</v>
      </c>
      <c r="L47" s="7" t="str">
        <f>"82,6320"</f>
        <v>82,6320</v>
      </c>
      <c r="M47" s="7" t="s">
        <v>838</v>
      </c>
    </row>
    <row r="48" spans="1:13" ht="12.75">
      <c r="A48" s="9" t="s">
        <v>260</v>
      </c>
      <c r="B48" s="9" t="s">
        <v>261</v>
      </c>
      <c r="C48" s="9" t="s">
        <v>22</v>
      </c>
      <c r="D48" s="9" t="str">
        <f>"0,9103"</f>
        <v>0,9103</v>
      </c>
      <c r="E48" s="9" t="s">
        <v>16</v>
      </c>
      <c r="F48" s="9" t="s">
        <v>1538</v>
      </c>
      <c r="G48" s="9" t="s">
        <v>20</v>
      </c>
      <c r="H48" s="10"/>
      <c r="I48" s="10"/>
      <c r="J48" s="10"/>
      <c r="K48" s="9">
        <v>110</v>
      </c>
      <c r="L48" s="9" t="str">
        <f>"100,1330"</f>
        <v>100,1330</v>
      </c>
      <c r="M48" s="9" t="s">
        <v>263</v>
      </c>
    </row>
    <row r="49" spans="1:13" ht="12.75">
      <c r="A49" s="11" t="s">
        <v>260</v>
      </c>
      <c r="B49" s="11" t="s">
        <v>264</v>
      </c>
      <c r="C49" s="11" t="s">
        <v>22</v>
      </c>
      <c r="D49" s="11" t="str">
        <f>"0,9103"</f>
        <v>0,9103</v>
      </c>
      <c r="E49" s="11" t="s">
        <v>16</v>
      </c>
      <c r="F49" s="11" t="s">
        <v>1538</v>
      </c>
      <c r="G49" s="11" t="s">
        <v>20</v>
      </c>
      <c r="H49" s="12"/>
      <c r="I49" s="12"/>
      <c r="J49" s="12"/>
      <c r="K49" s="11">
        <v>110</v>
      </c>
      <c r="L49" s="11" t="str">
        <f>"100,1330"</f>
        <v>100,1330</v>
      </c>
      <c r="M49" s="11" t="s">
        <v>263</v>
      </c>
    </row>
    <row r="51" spans="1:12" ht="15">
      <c r="A51" s="116" t="s">
        <v>32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52" spans="1:13" ht="12.75">
      <c r="A52" s="7" t="s">
        <v>839</v>
      </c>
      <c r="B52" s="7" t="s">
        <v>840</v>
      </c>
      <c r="C52" s="7" t="s">
        <v>53</v>
      </c>
      <c r="D52" s="7" t="str">
        <f>"0,7804"</f>
        <v>0,7804</v>
      </c>
      <c r="E52" s="7" t="s">
        <v>16</v>
      </c>
      <c r="F52" s="7" t="s">
        <v>812</v>
      </c>
      <c r="G52" s="8" t="s">
        <v>50</v>
      </c>
      <c r="H52" s="7" t="s">
        <v>50</v>
      </c>
      <c r="I52" s="8" t="s">
        <v>17</v>
      </c>
      <c r="J52" s="8"/>
      <c r="K52" s="7">
        <v>90</v>
      </c>
      <c r="L52" s="7" t="str">
        <f>"70,2360"</f>
        <v>70,2360</v>
      </c>
      <c r="M52" s="7" t="s">
        <v>1549</v>
      </c>
    </row>
    <row r="53" spans="1:13" ht="12.75">
      <c r="A53" s="9" t="s">
        <v>841</v>
      </c>
      <c r="B53" s="9" t="s">
        <v>842</v>
      </c>
      <c r="C53" s="9" t="s">
        <v>811</v>
      </c>
      <c r="D53" s="9" t="str">
        <f>"0,7756"</f>
        <v>0,7756</v>
      </c>
      <c r="E53" s="9" t="s">
        <v>16</v>
      </c>
      <c r="F53" s="9" t="s">
        <v>1526</v>
      </c>
      <c r="G53" s="9" t="s">
        <v>26</v>
      </c>
      <c r="H53" s="9" t="s">
        <v>31</v>
      </c>
      <c r="I53" s="10" t="s">
        <v>50</v>
      </c>
      <c r="J53" s="10"/>
      <c r="K53" s="9">
        <v>80</v>
      </c>
      <c r="L53" s="9" t="str">
        <f>"62,0480"</f>
        <v>62,0480</v>
      </c>
      <c r="M53" s="9" t="s">
        <v>843</v>
      </c>
    </row>
    <row r="54" spans="1:13" ht="12.75">
      <c r="A54" s="9" t="s">
        <v>844</v>
      </c>
      <c r="B54" s="9" t="s">
        <v>845</v>
      </c>
      <c r="C54" s="9" t="s">
        <v>277</v>
      </c>
      <c r="D54" s="9" t="str">
        <f>"0,7852"</f>
        <v>0,7852</v>
      </c>
      <c r="E54" s="9" t="s">
        <v>16</v>
      </c>
      <c r="F54" s="9" t="s">
        <v>118</v>
      </c>
      <c r="G54" s="10" t="s">
        <v>17</v>
      </c>
      <c r="H54" s="10" t="s">
        <v>17</v>
      </c>
      <c r="I54" s="10" t="s">
        <v>17</v>
      </c>
      <c r="J54" s="10"/>
      <c r="K54" s="9">
        <v>0</v>
      </c>
      <c r="L54" s="9" t="str">
        <f>"0,0000"</f>
        <v>0,0000</v>
      </c>
      <c r="M54" s="9" t="s">
        <v>475</v>
      </c>
    </row>
    <row r="55" spans="1:13" ht="12.75">
      <c r="A55" s="9" t="s">
        <v>846</v>
      </c>
      <c r="B55" s="9" t="s">
        <v>847</v>
      </c>
      <c r="C55" s="9" t="s">
        <v>39</v>
      </c>
      <c r="D55" s="9" t="str">
        <f>"0,7710"</f>
        <v>0,7710</v>
      </c>
      <c r="E55" s="9" t="s">
        <v>10</v>
      </c>
      <c r="F55" s="9" t="s">
        <v>1536</v>
      </c>
      <c r="G55" s="9" t="s">
        <v>24</v>
      </c>
      <c r="H55" s="9" t="s">
        <v>30</v>
      </c>
      <c r="I55" s="10" t="s">
        <v>216</v>
      </c>
      <c r="J55" s="10"/>
      <c r="K55" s="9">
        <v>125</v>
      </c>
      <c r="L55" s="9" t="str">
        <f>"96,3750"</f>
        <v>96,3750</v>
      </c>
      <c r="M55" s="9" t="s">
        <v>1550</v>
      </c>
    </row>
    <row r="56" spans="1:13" ht="12.75">
      <c r="A56" s="9" t="s">
        <v>848</v>
      </c>
      <c r="B56" s="9" t="s">
        <v>849</v>
      </c>
      <c r="C56" s="9" t="s">
        <v>805</v>
      </c>
      <c r="D56" s="9" t="str">
        <f>"0,7862"</f>
        <v>0,7862</v>
      </c>
      <c r="E56" s="9" t="s">
        <v>16</v>
      </c>
      <c r="F56" s="9" t="s">
        <v>850</v>
      </c>
      <c r="G56" s="9" t="s">
        <v>30</v>
      </c>
      <c r="H56" s="9" t="s">
        <v>25</v>
      </c>
      <c r="I56" s="10" t="s">
        <v>308</v>
      </c>
      <c r="J56" s="10"/>
      <c r="K56" s="9">
        <v>130</v>
      </c>
      <c r="L56" s="9" t="str">
        <f>"102,2060"</f>
        <v>102,2060</v>
      </c>
      <c r="M56" s="9" t="s">
        <v>27</v>
      </c>
    </row>
    <row r="57" spans="1:13" ht="12.75">
      <c r="A57" s="9" t="s">
        <v>851</v>
      </c>
      <c r="B57" s="9" t="s">
        <v>852</v>
      </c>
      <c r="C57" s="9" t="s">
        <v>853</v>
      </c>
      <c r="D57" s="9" t="str">
        <f>"0,8035"</f>
        <v>0,8035</v>
      </c>
      <c r="E57" s="9" t="s">
        <v>16</v>
      </c>
      <c r="F57" s="9" t="s">
        <v>1526</v>
      </c>
      <c r="G57" s="9" t="s">
        <v>24</v>
      </c>
      <c r="H57" s="9" t="s">
        <v>30</v>
      </c>
      <c r="I57" s="10" t="s">
        <v>216</v>
      </c>
      <c r="J57" s="10"/>
      <c r="K57" s="9">
        <v>125</v>
      </c>
      <c r="L57" s="9" t="str">
        <f>"100,4375"</f>
        <v>100,4375</v>
      </c>
      <c r="M57" s="9" t="s">
        <v>27</v>
      </c>
    </row>
    <row r="58" spans="1:13" ht="12.75">
      <c r="A58" s="9" t="s">
        <v>289</v>
      </c>
      <c r="B58" s="9" t="s">
        <v>290</v>
      </c>
      <c r="C58" s="9" t="s">
        <v>291</v>
      </c>
      <c r="D58" s="9" t="str">
        <f>"0,8317"</f>
        <v>0,8317</v>
      </c>
      <c r="E58" s="9" t="s">
        <v>23</v>
      </c>
      <c r="F58" s="9" t="s">
        <v>1529</v>
      </c>
      <c r="G58" s="9" t="s">
        <v>189</v>
      </c>
      <c r="H58" s="10"/>
      <c r="I58" s="10"/>
      <c r="J58" s="10"/>
      <c r="K58" s="9">
        <v>147.5</v>
      </c>
      <c r="L58" s="9" t="str">
        <f>"122,6758"</f>
        <v>122,6758</v>
      </c>
      <c r="M58" s="9" t="s">
        <v>293</v>
      </c>
    </row>
    <row r="59" spans="1:13" ht="12.75">
      <c r="A59" s="9" t="s">
        <v>294</v>
      </c>
      <c r="B59" s="9" t="s">
        <v>295</v>
      </c>
      <c r="C59" s="9" t="s">
        <v>277</v>
      </c>
      <c r="D59" s="9" t="str">
        <f>"0,7852"</f>
        <v>0,7852</v>
      </c>
      <c r="E59" s="9" t="s">
        <v>1486</v>
      </c>
      <c r="F59" s="9" t="s">
        <v>297</v>
      </c>
      <c r="G59" s="9" t="s">
        <v>38</v>
      </c>
      <c r="H59" s="10"/>
      <c r="I59" s="10"/>
      <c r="J59" s="10"/>
      <c r="K59" s="9">
        <v>145</v>
      </c>
      <c r="L59" s="9" t="str">
        <f>"113,8540"</f>
        <v>113,8540</v>
      </c>
      <c r="M59" s="9" t="s">
        <v>27</v>
      </c>
    </row>
    <row r="60" spans="1:13" ht="12.75">
      <c r="A60" s="9" t="s">
        <v>854</v>
      </c>
      <c r="B60" s="9" t="s">
        <v>855</v>
      </c>
      <c r="C60" s="9" t="s">
        <v>53</v>
      </c>
      <c r="D60" s="9" t="str">
        <f>"0,7804"</f>
        <v>0,7804</v>
      </c>
      <c r="E60" s="9" t="s">
        <v>16</v>
      </c>
      <c r="F60" s="9" t="s">
        <v>1526</v>
      </c>
      <c r="G60" s="9" t="s">
        <v>58</v>
      </c>
      <c r="H60" s="9" t="s">
        <v>130</v>
      </c>
      <c r="I60" s="10" t="s">
        <v>189</v>
      </c>
      <c r="J60" s="10"/>
      <c r="K60" s="9">
        <v>142.5</v>
      </c>
      <c r="L60" s="9" t="str">
        <f>"111,2070"</f>
        <v>111,2070</v>
      </c>
      <c r="M60" s="9" t="s">
        <v>27</v>
      </c>
    </row>
    <row r="61" spans="1:13" ht="12.75">
      <c r="A61" s="9" t="s">
        <v>856</v>
      </c>
      <c r="B61" s="9" t="s">
        <v>857</v>
      </c>
      <c r="C61" s="9" t="s">
        <v>39</v>
      </c>
      <c r="D61" s="9" t="str">
        <f>"0,7710"</f>
        <v>0,7710</v>
      </c>
      <c r="E61" s="9" t="s">
        <v>16</v>
      </c>
      <c r="F61" s="9" t="s">
        <v>759</v>
      </c>
      <c r="G61" s="9" t="s">
        <v>216</v>
      </c>
      <c r="H61" s="10" t="s">
        <v>308</v>
      </c>
      <c r="I61" s="10" t="s">
        <v>308</v>
      </c>
      <c r="J61" s="10"/>
      <c r="K61" s="9">
        <v>127.5</v>
      </c>
      <c r="L61" s="9" t="str">
        <f>"98,3025"</f>
        <v>98,3025</v>
      </c>
      <c r="M61" s="9" t="s">
        <v>27</v>
      </c>
    </row>
    <row r="62" spans="1:13" ht="12.75">
      <c r="A62" s="9" t="s">
        <v>858</v>
      </c>
      <c r="B62" s="9" t="s">
        <v>859</v>
      </c>
      <c r="C62" s="9" t="s">
        <v>860</v>
      </c>
      <c r="D62" s="9" t="str">
        <f>"0,7747"</f>
        <v>0,7747</v>
      </c>
      <c r="E62" s="9" t="s">
        <v>16</v>
      </c>
      <c r="F62" s="9" t="s">
        <v>861</v>
      </c>
      <c r="G62" s="9" t="s">
        <v>24</v>
      </c>
      <c r="H62" s="9" t="s">
        <v>30</v>
      </c>
      <c r="I62" s="10" t="s">
        <v>25</v>
      </c>
      <c r="J62" s="10"/>
      <c r="K62" s="9">
        <v>125</v>
      </c>
      <c r="L62" s="9" t="str">
        <f>"96,8375"</f>
        <v>96,8375</v>
      </c>
      <c r="M62" s="9" t="s">
        <v>27</v>
      </c>
    </row>
    <row r="63" spans="1:13" ht="12.75">
      <c r="A63" s="9" t="s">
        <v>862</v>
      </c>
      <c r="B63" s="9" t="s">
        <v>863</v>
      </c>
      <c r="C63" s="9" t="s">
        <v>864</v>
      </c>
      <c r="D63" s="9" t="str">
        <f>"0,7813"</f>
        <v>0,7813</v>
      </c>
      <c r="E63" s="9" t="s">
        <v>16</v>
      </c>
      <c r="F63" s="9" t="s">
        <v>865</v>
      </c>
      <c r="G63" s="9" t="s">
        <v>18</v>
      </c>
      <c r="H63" s="10" t="s">
        <v>30</v>
      </c>
      <c r="I63" s="10" t="s">
        <v>30</v>
      </c>
      <c r="J63" s="10"/>
      <c r="K63" s="9">
        <v>115</v>
      </c>
      <c r="L63" s="9" t="str">
        <f>"89,8495"</f>
        <v>89,8495</v>
      </c>
      <c r="M63" s="9" t="s">
        <v>27</v>
      </c>
    </row>
    <row r="64" spans="1:13" ht="12.75">
      <c r="A64" s="9" t="s">
        <v>299</v>
      </c>
      <c r="B64" s="9" t="s">
        <v>300</v>
      </c>
      <c r="C64" s="9" t="s">
        <v>34</v>
      </c>
      <c r="D64" s="9" t="str">
        <f>"0,7775"</f>
        <v>0,7775</v>
      </c>
      <c r="E64" s="9" t="s">
        <v>16</v>
      </c>
      <c r="F64" s="9" t="s">
        <v>1526</v>
      </c>
      <c r="G64" s="10" t="s">
        <v>216</v>
      </c>
      <c r="H64" s="10" t="s">
        <v>216</v>
      </c>
      <c r="I64" s="10" t="s">
        <v>216</v>
      </c>
      <c r="J64" s="10"/>
      <c r="K64" s="9">
        <v>0</v>
      </c>
      <c r="L64" s="9" t="str">
        <f>"0,0000"</f>
        <v>0,0000</v>
      </c>
      <c r="M64" s="9" t="s">
        <v>27</v>
      </c>
    </row>
    <row r="65" spans="1:13" ht="12.75">
      <c r="A65" s="11" t="s">
        <v>862</v>
      </c>
      <c r="B65" s="11" t="s">
        <v>866</v>
      </c>
      <c r="C65" s="11" t="s">
        <v>864</v>
      </c>
      <c r="D65" s="11" t="str">
        <f>"0,7813"</f>
        <v>0,7813</v>
      </c>
      <c r="E65" s="11" t="s">
        <v>16</v>
      </c>
      <c r="F65" s="11" t="s">
        <v>865</v>
      </c>
      <c r="G65" s="11" t="s">
        <v>18</v>
      </c>
      <c r="H65" s="12" t="s">
        <v>30</v>
      </c>
      <c r="I65" s="12" t="s">
        <v>30</v>
      </c>
      <c r="J65" s="12"/>
      <c r="K65" s="11">
        <v>115</v>
      </c>
      <c r="L65" s="11" t="str">
        <f>"98,4751"</f>
        <v>98,4751</v>
      </c>
      <c r="M65" s="11" t="s">
        <v>27</v>
      </c>
    </row>
    <row r="67" spans="1:12" ht="15">
      <c r="A67" s="116" t="s">
        <v>40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</row>
    <row r="68" spans="1:13" ht="12.75">
      <c r="A68" s="7" t="s">
        <v>867</v>
      </c>
      <c r="B68" s="7" t="s">
        <v>868</v>
      </c>
      <c r="C68" s="7" t="s">
        <v>250</v>
      </c>
      <c r="D68" s="23" t="str">
        <f>"0,7207"</f>
        <v>0,7207</v>
      </c>
      <c r="E68" s="7" t="s">
        <v>78</v>
      </c>
      <c r="F68" s="25" t="s">
        <v>869</v>
      </c>
      <c r="G68" s="7" t="s">
        <v>30</v>
      </c>
      <c r="H68" s="8" t="s">
        <v>25</v>
      </c>
      <c r="I68" s="8" t="s">
        <v>25</v>
      </c>
      <c r="J68" s="8"/>
      <c r="K68" s="7">
        <v>125</v>
      </c>
      <c r="L68" s="7" t="str">
        <f>"90,0875"</f>
        <v>90,0875</v>
      </c>
      <c r="M68" s="7" t="s">
        <v>870</v>
      </c>
    </row>
    <row r="69" spans="1:13" ht="12.75">
      <c r="A69" s="9" t="s">
        <v>871</v>
      </c>
      <c r="B69" s="9" t="s">
        <v>872</v>
      </c>
      <c r="C69" s="9" t="s">
        <v>873</v>
      </c>
      <c r="D69" s="21" t="str">
        <f>"0,7390"</f>
        <v>0,7390</v>
      </c>
      <c r="E69" s="9" t="s">
        <v>16</v>
      </c>
      <c r="F69" s="22" t="s">
        <v>1526</v>
      </c>
      <c r="G69" s="9" t="s">
        <v>110</v>
      </c>
      <c r="H69" s="9" t="s">
        <v>169</v>
      </c>
      <c r="I69" s="10" t="s">
        <v>225</v>
      </c>
      <c r="J69" s="10"/>
      <c r="K69" s="9">
        <v>117.5</v>
      </c>
      <c r="L69" s="9" t="str">
        <f>"86,8325"</f>
        <v>86,8325</v>
      </c>
      <c r="M69" s="9" t="s">
        <v>1103</v>
      </c>
    </row>
    <row r="70" spans="1:13" ht="12.75">
      <c r="A70" s="9" t="s">
        <v>874</v>
      </c>
      <c r="B70" s="9" t="s">
        <v>875</v>
      </c>
      <c r="C70" s="9" t="s">
        <v>827</v>
      </c>
      <c r="D70" s="21" t="str">
        <f>"0,7193"</f>
        <v>0,7193</v>
      </c>
      <c r="E70" s="9" t="s">
        <v>16</v>
      </c>
      <c r="F70" s="22" t="s">
        <v>108</v>
      </c>
      <c r="G70" s="9" t="s">
        <v>35</v>
      </c>
      <c r="H70" s="9" t="s">
        <v>330</v>
      </c>
      <c r="I70" s="10" t="s">
        <v>123</v>
      </c>
      <c r="J70" s="10"/>
      <c r="K70" s="9">
        <v>157.5</v>
      </c>
      <c r="L70" s="9" t="str">
        <f>"113,2897"</f>
        <v>113,2897</v>
      </c>
      <c r="M70" s="9" t="s">
        <v>27</v>
      </c>
    </row>
    <row r="71" spans="1:13" ht="12.75">
      <c r="A71" s="9" t="s">
        <v>876</v>
      </c>
      <c r="B71" s="9" t="s">
        <v>877</v>
      </c>
      <c r="C71" s="9" t="s">
        <v>320</v>
      </c>
      <c r="D71" s="21" t="str">
        <f>"0,7126"</f>
        <v>0,7126</v>
      </c>
      <c r="E71" s="9" t="s">
        <v>16</v>
      </c>
      <c r="F71" s="22" t="s">
        <v>1539</v>
      </c>
      <c r="G71" s="9" t="s">
        <v>33</v>
      </c>
      <c r="H71" s="9" t="s">
        <v>35</v>
      </c>
      <c r="I71" s="9" t="s">
        <v>36</v>
      </c>
      <c r="J71" s="10"/>
      <c r="K71" s="9">
        <v>155</v>
      </c>
      <c r="L71" s="9" t="str">
        <f>"110,4530"</f>
        <v>110,4530</v>
      </c>
      <c r="M71" s="9" t="s">
        <v>27</v>
      </c>
    </row>
    <row r="72" spans="1:13" ht="12.75">
      <c r="A72" s="9" t="s">
        <v>878</v>
      </c>
      <c r="B72" s="9" t="s">
        <v>879</v>
      </c>
      <c r="C72" s="9" t="s">
        <v>880</v>
      </c>
      <c r="D72" s="21" t="str">
        <f>"0,7132"</f>
        <v>0,7132</v>
      </c>
      <c r="E72" s="9" t="s">
        <v>16</v>
      </c>
      <c r="F72" s="22" t="s">
        <v>1540</v>
      </c>
      <c r="G72" s="9" t="s">
        <v>130</v>
      </c>
      <c r="H72" s="10" t="s">
        <v>189</v>
      </c>
      <c r="I72" s="10" t="s">
        <v>189</v>
      </c>
      <c r="J72" s="10"/>
      <c r="K72" s="9">
        <v>142.5</v>
      </c>
      <c r="L72" s="9" t="str">
        <f>"101,6310"</f>
        <v>101,6310</v>
      </c>
      <c r="M72" s="9" t="s">
        <v>1551</v>
      </c>
    </row>
    <row r="73" spans="1:13" ht="12.75">
      <c r="A73" s="9" t="s">
        <v>881</v>
      </c>
      <c r="B73" s="9" t="s">
        <v>882</v>
      </c>
      <c r="C73" s="9" t="s">
        <v>883</v>
      </c>
      <c r="D73" s="21" t="str">
        <f>"0,7249"</f>
        <v>0,7249</v>
      </c>
      <c r="E73" s="9" t="s">
        <v>16</v>
      </c>
      <c r="F73" s="22" t="s">
        <v>884</v>
      </c>
      <c r="G73" s="9" t="s">
        <v>58</v>
      </c>
      <c r="H73" s="10" t="s">
        <v>33</v>
      </c>
      <c r="I73" s="10" t="s">
        <v>33</v>
      </c>
      <c r="J73" s="10"/>
      <c r="K73" s="9">
        <v>135</v>
      </c>
      <c r="L73" s="9" t="str">
        <f>"97,8615"</f>
        <v>97,8615</v>
      </c>
      <c r="M73" s="9" t="s">
        <v>1552</v>
      </c>
    </row>
    <row r="74" spans="1:13" ht="12.75">
      <c r="A74" s="9" t="s">
        <v>885</v>
      </c>
      <c r="B74" s="9" t="s">
        <v>886</v>
      </c>
      <c r="C74" s="9" t="s">
        <v>54</v>
      </c>
      <c r="D74" s="21" t="str">
        <f>"0,7285"</f>
        <v>0,7285</v>
      </c>
      <c r="E74" s="9" t="s">
        <v>16</v>
      </c>
      <c r="F74" s="22" t="s">
        <v>1526</v>
      </c>
      <c r="G74" s="9" t="s">
        <v>43</v>
      </c>
      <c r="H74" s="9" t="s">
        <v>48</v>
      </c>
      <c r="I74" s="10" t="s">
        <v>44</v>
      </c>
      <c r="J74" s="10"/>
      <c r="K74" s="9">
        <v>190</v>
      </c>
      <c r="L74" s="9" t="str">
        <f>"138,4150"</f>
        <v>138,4150</v>
      </c>
      <c r="M74" s="9" t="s">
        <v>1553</v>
      </c>
    </row>
    <row r="75" spans="1:13" ht="12.75">
      <c r="A75" s="9" t="s">
        <v>887</v>
      </c>
      <c r="B75" s="9" t="s">
        <v>888</v>
      </c>
      <c r="C75" s="9" t="s">
        <v>312</v>
      </c>
      <c r="D75" s="21" t="str">
        <f>"0,7139"</f>
        <v>0,7139</v>
      </c>
      <c r="E75" s="9" t="s">
        <v>16</v>
      </c>
      <c r="F75" s="22" t="s">
        <v>889</v>
      </c>
      <c r="G75" s="9" t="s">
        <v>42</v>
      </c>
      <c r="H75" s="10" t="s">
        <v>99</v>
      </c>
      <c r="I75" s="10" t="s">
        <v>99</v>
      </c>
      <c r="J75" s="10"/>
      <c r="K75" s="9">
        <v>170</v>
      </c>
      <c r="L75" s="9" t="str">
        <f>"121,3630"</f>
        <v>121,3630</v>
      </c>
      <c r="M75" s="9" t="s">
        <v>27</v>
      </c>
    </row>
    <row r="76" spans="1:13" ht="12.75">
      <c r="A76" s="9" t="s">
        <v>890</v>
      </c>
      <c r="B76" s="9" t="s">
        <v>891</v>
      </c>
      <c r="C76" s="9" t="s">
        <v>306</v>
      </c>
      <c r="D76" s="21" t="str">
        <f>"0,7159"</f>
        <v>0,7159</v>
      </c>
      <c r="E76" s="9" t="s">
        <v>16</v>
      </c>
      <c r="F76" s="22" t="s">
        <v>1505</v>
      </c>
      <c r="G76" s="9" t="s">
        <v>109</v>
      </c>
      <c r="H76" s="10" t="s">
        <v>99</v>
      </c>
      <c r="I76" s="10" t="s">
        <v>99</v>
      </c>
      <c r="J76" s="10"/>
      <c r="K76" s="9">
        <v>165</v>
      </c>
      <c r="L76" s="9" t="str">
        <f>"118,1235"</f>
        <v>118,1235</v>
      </c>
      <c r="M76" s="9" t="s">
        <v>27</v>
      </c>
    </row>
    <row r="77" spans="1:13" ht="12.75">
      <c r="A77" s="9" t="s">
        <v>892</v>
      </c>
      <c r="B77" s="9" t="s">
        <v>893</v>
      </c>
      <c r="C77" s="9" t="s">
        <v>328</v>
      </c>
      <c r="D77" s="21" t="str">
        <f>"0,7186"</f>
        <v>0,7186</v>
      </c>
      <c r="E77" s="9" t="s">
        <v>16</v>
      </c>
      <c r="F77" s="22" t="s">
        <v>1532</v>
      </c>
      <c r="G77" s="9" t="s">
        <v>33</v>
      </c>
      <c r="H77" s="10" t="s">
        <v>35</v>
      </c>
      <c r="I77" s="10" t="s">
        <v>35</v>
      </c>
      <c r="J77" s="10"/>
      <c r="K77" s="9">
        <v>140</v>
      </c>
      <c r="L77" s="9" t="str">
        <f>"100,6040"</f>
        <v>100,6040</v>
      </c>
      <c r="M77" s="9" t="s">
        <v>27</v>
      </c>
    </row>
    <row r="78" spans="1:13" ht="12.75">
      <c r="A78" s="9" t="s">
        <v>894</v>
      </c>
      <c r="B78" s="9" t="s">
        <v>895</v>
      </c>
      <c r="C78" s="9" t="s">
        <v>880</v>
      </c>
      <c r="D78" s="21" t="str">
        <f>"0,7132"</f>
        <v>0,7132</v>
      </c>
      <c r="E78" s="9" t="s">
        <v>16</v>
      </c>
      <c r="F78" s="22" t="s">
        <v>889</v>
      </c>
      <c r="G78" s="9" t="s">
        <v>33</v>
      </c>
      <c r="H78" s="10" t="s">
        <v>189</v>
      </c>
      <c r="I78" s="10" t="s">
        <v>189</v>
      </c>
      <c r="J78" s="10"/>
      <c r="K78" s="9">
        <v>140</v>
      </c>
      <c r="L78" s="9" t="str">
        <f>"99,8480"</f>
        <v>99,8480</v>
      </c>
      <c r="M78" s="9" t="s">
        <v>896</v>
      </c>
    </row>
    <row r="79" spans="1:13" ht="12.75">
      <c r="A79" s="9" t="s">
        <v>897</v>
      </c>
      <c r="B79" s="9" t="s">
        <v>898</v>
      </c>
      <c r="C79" s="9" t="s">
        <v>899</v>
      </c>
      <c r="D79" s="21" t="str">
        <f>"0,7235"</f>
        <v>0,7235</v>
      </c>
      <c r="E79" s="9" t="s">
        <v>16</v>
      </c>
      <c r="F79" s="22" t="s">
        <v>900</v>
      </c>
      <c r="G79" s="10" t="s">
        <v>43</v>
      </c>
      <c r="H79" s="10" t="s">
        <v>43</v>
      </c>
      <c r="I79" s="10" t="s">
        <v>43</v>
      </c>
      <c r="J79" s="10"/>
      <c r="K79" s="9">
        <v>0</v>
      </c>
      <c r="L79" s="9" t="str">
        <f>"0,0000"</f>
        <v>0,0000</v>
      </c>
      <c r="M79" s="9" t="s">
        <v>27</v>
      </c>
    </row>
    <row r="80" spans="1:13" ht="12.75">
      <c r="A80" s="9" t="s">
        <v>901</v>
      </c>
      <c r="B80" s="9" t="s">
        <v>902</v>
      </c>
      <c r="C80" s="9" t="s">
        <v>903</v>
      </c>
      <c r="D80" s="21" t="str">
        <f>"0,7214"</f>
        <v>0,7214</v>
      </c>
      <c r="E80" s="9" t="s">
        <v>16</v>
      </c>
      <c r="F80" s="22" t="s">
        <v>900</v>
      </c>
      <c r="G80" s="10" t="s">
        <v>24</v>
      </c>
      <c r="H80" s="10" t="s">
        <v>24</v>
      </c>
      <c r="I80" s="10" t="s">
        <v>30</v>
      </c>
      <c r="J80" s="10"/>
      <c r="K80" s="9">
        <v>0</v>
      </c>
      <c r="L80" s="9" t="str">
        <f>"0,0000"</f>
        <v>0,0000</v>
      </c>
      <c r="M80" s="9" t="s">
        <v>27</v>
      </c>
    </row>
    <row r="81" spans="1:13" ht="12.75">
      <c r="A81" s="9" t="s">
        <v>904</v>
      </c>
      <c r="B81" s="9" t="s">
        <v>905</v>
      </c>
      <c r="C81" s="9" t="s">
        <v>328</v>
      </c>
      <c r="D81" s="21" t="str">
        <f>"0,7186"</f>
        <v>0,7186</v>
      </c>
      <c r="E81" s="9" t="s">
        <v>16</v>
      </c>
      <c r="F81" s="22" t="s">
        <v>906</v>
      </c>
      <c r="G81" s="9" t="s">
        <v>58</v>
      </c>
      <c r="H81" s="9" t="s">
        <v>33</v>
      </c>
      <c r="I81" s="10" t="s">
        <v>38</v>
      </c>
      <c r="J81" s="10"/>
      <c r="K81" s="9">
        <v>140</v>
      </c>
      <c r="L81" s="9" t="str">
        <f>"101,1070"</f>
        <v>101,1070</v>
      </c>
      <c r="M81" s="9" t="s">
        <v>27</v>
      </c>
    </row>
    <row r="82" spans="1:13" ht="12.75">
      <c r="A82" s="9" t="s">
        <v>907</v>
      </c>
      <c r="B82" s="9" t="s">
        <v>908</v>
      </c>
      <c r="C82" s="9" t="s">
        <v>909</v>
      </c>
      <c r="D82" s="21" t="str">
        <f>"0,7414"</f>
        <v>0,7414</v>
      </c>
      <c r="E82" s="9" t="s">
        <v>16</v>
      </c>
      <c r="F82" s="22" t="s">
        <v>792</v>
      </c>
      <c r="G82" s="9" t="s">
        <v>169</v>
      </c>
      <c r="H82" s="9" t="s">
        <v>30</v>
      </c>
      <c r="I82" s="10" t="s">
        <v>216</v>
      </c>
      <c r="J82" s="10"/>
      <c r="K82" s="9">
        <v>125</v>
      </c>
      <c r="L82" s="9" t="str">
        <f>"93,9725"</f>
        <v>93,9725</v>
      </c>
      <c r="M82" s="9" t="s">
        <v>910</v>
      </c>
    </row>
    <row r="83" spans="1:13" ht="12.75">
      <c r="A83" s="9" t="s">
        <v>911</v>
      </c>
      <c r="B83" s="9" t="s">
        <v>912</v>
      </c>
      <c r="C83" s="9" t="s">
        <v>899</v>
      </c>
      <c r="D83" s="21" t="str">
        <f>"0,7235"</f>
        <v>0,7235</v>
      </c>
      <c r="E83" s="9" t="s">
        <v>16</v>
      </c>
      <c r="F83" s="22" t="s">
        <v>1526</v>
      </c>
      <c r="G83" s="9" t="s">
        <v>180</v>
      </c>
      <c r="H83" s="10" t="s">
        <v>110</v>
      </c>
      <c r="I83" s="9" t="s">
        <v>20</v>
      </c>
      <c r="J83" s="10"/>
      <c r="K83" s="9">
        <v>110</v>
      </c>
      <c r="L83" s="9" t="str">
        <f>"79,5850"</f>
        <v>79,5850</v>
      </c>
      <c r="M83" s="9" t="s">
        <v>27</v>
      </c>
    </row>
    <row r="84" spans="1:13" ht="12.75">
      <c r="A84" s="9" t="s">
        <v>913</v>
      </c>
      <c r="B84" s="9" t="s">
        <v>914</v>
      </c>
      <c r="C84" s="9" t="s">
        <v>915</v>
      </c>
      <c r="D84" s="21" t="str">
        <f>"0,7166"</f>
        <v>0,7166</v>
      </c>
      <c r="E84" s="9" t="s">
        <v>16</v>
      </c>
      <c r="F84" s="22" t="s">
        <v>916</v>
      </c>
      <c r="G84" s="9" t="s">
        <v>18</v>
      </c>
      <c r="H84" s="9" t="s">
        <v>169</v>
      </c>
      <c r="I84" s="10" t="s">
        <v>24</v>
      </c>
      <c r="J84" s="10"/>
      <c r="K84" s="9">
        <v>117.5</v>
      </c>
      <c r="L84" s="9" t="str">
        <f>"96,8306"</f>
        <v>96,8306</v>
      </c>
      <c r="M84" s="9" t="s">
        <v>1554</v>
      </c>
    </row>
    <row r="85" spans="1:13" ht="12.75">
      <c r="A85" s="11" t="s">
        <v>917</v>
      </c>
      <c r="B85" s="11" t="s">
        <v>918</v>
      </c>
      <c r="C85" s="11" t="s">
        <v>320</v>
      </c>
      <c r="D85" s="24" t="str">
        <f>"0,7126"</f>
        <v>0,7126</v>
      </c>
      <c r="E85" s="11" t="s">
        <v>16</v>
      </c>
      <c r="F85" s="26" t="s">
        <v>792</v>
      </c>
      <c r="G85" s="11" t="s">
        <v>24</v>
      </c>
      <c r="H85" s="11" t="s">
        <v>25</v>
      </c>
      <c r="I85" s="11" t="s">
        <v>58</v>
      </c>
      <c r="J85" s="12"/>
      <c r="K85" s="11">
        <v>135</v>
      </c>
      <c r="L85" s="11" t="str">
        <f>"135,6434"</f>
        <v>135,6434</v>
      </c>
      <c r="M85" s="11" t="s">
        <v>27</v>
      </c>
    </row>
    <row r="87" spans="1:12" ht="15">
      <c r="A87" s="116" t="s">
        <v>46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1:13" ht="12.75">
      <c r="A88" s="7" t="s">
        <v>919</v>
      </c>
      <c r="B88" s="7" t="s">
        <v>920</v>
      </c>
      <c r="C88" s="7" t="s">
        <v>921</v>
      </c>
      <c r="D88" s="23" t="str">
        <f>"0,6957"</f>
        <v>0,6957</v>
      </c>
      <c r="E88" s="7" t="s">
        <v>16</v>
      </c>
      <c r="F88" s="25" t="s">
        <v>1526</v>
      </c>
      <c r="G88" s="8" t="s">
        <v>17</v>
      </c>
      <c r="H88" s="7" t="s">
        <v>110</v>
      </c>
      <c r="I88" s="8" t="s">
        <v>268</v>
      </c>
      <c r="J88" s="8"/>
      <c r="K88" s="7">
        <v>105</v>
      </c>
      <c r="L88" s="7" t="str">
        <f>"73,0485"</f>
        <v>73,0485</v>
      </c>
      <c r="M88" s="7" t="s">
        <v>922</v>
      </c>
    </row>
    <row r="89" spans="1:13" ht="12.75">
      <c r="A89" s="9" t="s">
        <v>923</v>
      </c>
      <c r="B89" s="9" t="s">
        <v>924</v>
      </c>
      <c r="C89" s="9" t="s">
        <v>925</v>
      </c>
      <c r="D89" s="21" t="str">
        <f>"0,6945"</f>
        <v>0,6945</v>
      </c>
      <c r="E89" s="9" t="s">
        <v>16</v>
      </c>
      <c r="F89" s="22" t="s">
        <v>1526</v>
      </c>
      <c r="G89" s="9" t="s">
        <v>38</v>
      </c>
      <c r="H89" s="9" t="s">
        <v>35</v>
      </c>
      <c r="I89" s="9" t="s">
        <v>36</v>
      </c>
      <c r="J89" s="10"/>
      <c r="K89" s="9">
        <v>155</v>
      </c>
      <c r="L89" s="9" t="str">
        <f>"107,6475"</f>
        <v>107,6475</v>
      </c>
      <c r="M89" s="9" t="s">
        <v>1555</v>
      </c>
    </row>
    <row r="90" spans="1:13" ht="12.75">
      <c r="A90" s="9" t="s">
        <v>926</v>
      </c>
      <c r="B90" s="9" t="s">
        <v>927</v>
      </c>
      <c r="C90" s="9" t="s">
        <v>928</v>
      </c>
      <c r="D90" s="21" t="str">
        <f>"0,6811"</f>
        <v>0,6811</v>
      </c>
      <c r="E90" s="9" t="s">
        <v>16</v>
      </c>
      <c r="F90" s="22" t="s">
        <v>1534</v>
      </c>
      <c r="G90" s="9" t="s">
        <v>36</v>
      </c>
      <c r="H90" s="9" t="s">
        <v>123</v>
      </c>
      <c r="I90" s="9" t="s">
        <v>348</v>
      </c>
      <c r="J90" s="10"/>
      <c r="K90" s="9">
        <v>167.5</v>
      </c>
      <c r="L90" s="9" t="str">
        <f>"114,0843"</f>
        <v>114,0843</v>
      </c>
      <c r="M90" s="9" t="s">
        <v>929</v>
      </c>
    </row>
    <row r="91" spans="1:13" ht="12.75">
      <c r="A91" s="9" t="s">
        <v>930</v>
      </c>
      <c r="B91" s="9" t="s">
        <v>931</v>
      </c>
      <c r="C91" s="9" t="s">
        <v>90</v>
      </c>
      <c r="D91" s="21" t="str">
        <f>"0,6704"</f>
        <v>0,6704</v>
      </c>
      <c r="E91" s="9" t="s">
        <v>1485</v>
      </c>
      <c r="F91" s="22" t="s">
        <v>1529</v>
      </c>
      <c r="G91" s="9" t="s">
        <v>48</v>
      </c>
      <c r="H91" s="9" t="s">
        <v>309</v>
      </c>
      <c r="I91" s="9" t="s">
        <v>284</v>
      </c>
      <c r="J91" s="10"/>
      <c r="K91" s="9">
        <v>202.5</v>
      </c>
      <c r="L91" s="9" t="str">
        <f>"135,7560"</f>
        <v>135,7560</v>
      </c>
      <c r="M91" s="9" t="s">
        <v>1556</v>
      </c>
    </row>
    <row r="92" spans="1:13" ht="12.75">
      <c r="A92" s="9" t="s">
        <v>932</v>
      </c>
      <c r="B92" s="9" t="s">
        <v>933</v>
      </c>
      <c r="C92" s="9" t="s">
        <v>934</v>
      </c>
      <c r="D92" s="21" t="str">
        <f>"0,6759"</f>
        <v>0,6759</v>
      </c>
      <c r="E92" s="9" t="s">
        <v>10</v>
      </c>
      <c r="F92" s="22" t="s">
        <v>1541</v>
      </c>
      <c r="G92" s="9" t="s">
        <v>48</v>
      </c>
      <c r="H92" s="10" t="s">
        <v>309</v>
      </c>
      <c r="I92" s="10" t="s">
        <v>309</v>
      </c>
      <c r="J92" s="10"/>
      <c r="K92" s="9">
        <v>190</v>
      </c>
      <c r="L92" s="9" t="str">
        <f>"128,4210"</f>
        <v>128,4210</v>
      </c>
      <c r="M92" s="9" t="s">
        <v>1555</v>
      </c>
    </row>
    <row r="93" spans="1:13" ht="12.75">
      <c r="A93" s="9" t="s">
        <v>935</v>
      </c>
      <c r="B93" s="9" t="s">
        <v>936</v>
      </c>
      <c r="C93" s="9" t="s">
        <v>937</v>
      </c>
      <c r="D93" s="21" t="str">
        <f>"0,6774"</f>
        <v>0,6774</v>
      </c>
      <c r="E93" s="9" t="s">
        <v>10</v>
      </c>
      <c r="F93" s="22" t="s">
        <v>938</v>
      </c>
      <c r="G93" s="9" t="s">
        <v>42</v>
      </c>
      <c r="H93" s="9" t="s">
        <v>399</v>
      </c>
      <c r="I93" s="10" t="s">
        <v>43</v>
      </c>
      <c r="J93" s="10"/>
      <c r="K93" s="9">
        <v>177.5</v>
      </c>
      <c r="L93" s="9" t="str">
        <f>"120,2385"</f>
        <v>120,2385</v>
      </c>
      <c r="M93" s="9" t="s">
        <v>1557</v>
      </c>
    </row>
    <row r="94" spans="1:13" ht="12.75">
      <c r="A94" s="9" t="s">
        <v>939</v>
      </c>
      <c r="B94" s="9" t="s">
        <v>940</v>
      </c>
      <c r="C94" s="9" t="s">
        <v>62</v>
      </c>
      <c r="D94" s="21" t="str">
        <f>"0,6816"</f>
        <v>0,6816</v>
      </c>
      <c r="E94" s="9" t="s">
        <v>10</v>
      </c>
      <c r="F94" s="22" t="s">
        <v>1535</v>
      </c>
      <c r="G94" s="10" t="s">
        <v>35</v>
      </c>
      <c r="H94" s="9" t="s">
        <v>36</v>
      </c>
      <c r="I94" s="9" t="s">
        <v>59</v>
      </c>
      <c r="J94" s="10"/>
      <c r="K94" s="9">
        <v>160</v>
      </c>
      <c r="L94" s="9" t="str">
        <f>"109,0560"</f>
        <v>109,0560</v>
      </c>
      <c r="M94" s="9" t="s">
        <v>1555</v>
      </c>
    </row>
    <row r="95" spans="1:13" ht="12.75">
      <c r="A95" s="9" t="s">
        <v>941</v>
      </c>
      <c r="B95" s="9" t="s">
        <v>942</v>
      </c>
      <c r="C95" s="9" t="s">
        <v>355</v>
      </c>
      <c r="D95" s="21" t="str">
        <f>"0,6876"</f>
        <v>0,6876</v>
      </c>
      <c r="E95" s="9" t="s">
        <v>1485</v>
      </c>
      <c r="F95" s="22" t="s">
        <v>1529</v>
      </c>
      <c r="G95" s="9" t="s">
        <v>189</v>
      </c>
      <c r="H95" s="9" t="s">
        <v>410</v>
      </c>
      <c r="I95" s="10" t="s">
        <v>36</v>
      </c>
      <c r="J95" s="10"/>
      <c r="K95" s="9">
        <v>152.5</v>
      </c>
      <c r="L95" s="9" t="str">
        <f>"104,8590"</f>
        <v>104,8590</v>
      </c>
      <c r="M95" s="9" t="s">
        <v>27</v>
      </c>
    </row>
    <row r="96" spans="1:13" ht="12.75">
      <c r="A96" s="9" t="s">
        <v>943</v>
      </c>
      <c r="B96" s="9" t="s">
        <v>944</v>
      </c>
      <c r="C96" s="9" t="s">
        <v>945</v>
      </c>
      <c r="D96" s="21" t="str">
        <f>"0,6832"</f>
        <v>0,6832</v>
      </c>
      <c r="E96" s="9" t="s">
        <v>16</v>
      </c>
      <c r="F96" s="22" t="s">
        <v>946</v>
      </c>
      <c r="G96" s="9" t="s">
        <v>38</v>
      </c>
      <c r="H96" s="9" t="s">
        <v>35</v>
      </c>
      <c r="I96" s="10" t="s">
        <v>36</v>
      </c>
      <c r="J96" s="10"/>
      <c r="K96" s="9">
        <v>150</v>
      </c>
      <c r="L96" s="9" t="str">
        <f>"102,4800"</f>
        <v>102,4800</v>
      </c>
      <c r="M96" s="9" t="s">
        <v>1559</v>
      </c>
    </row>
    <row r="97" spans="1:13" ht="12.75">
      <c r="A97" s="9" t="s">
        <v>947</v>
      </c>
      <c r="B97" s="9" t="s">
        <v>948</v>
      </c>
      <c r="C97" s="9" t="s">
        <v>949</v>
      </c>
      <c r="D97" s="21" t="str">
        <f>"0,6795"</f>
        <v>0,6795</v>
      </c>
      <c r="E97" s="9" t="s">
        <v>16</v>
      </c>
      <c r="F97" s="22" t="s">
        <v>1526</v>
      </c>
      <c r="G97" s="9" t="s">
        <v>38</v>
      </c>
      <c r="H97" s="9" t="s">
        <v>35</v>
      </c>
      <c r="I97" s="10" t="s">
        <v>410</v>
      </c>
      <c r="J97" s="10"/>
      <c r="K97" s="9">
        <v>150</v>
      </c>
      <c r="L97" s="9" t="str">
        <f>"101,9250"</f>
        <v>101,9250</v>
      </c>
      <c r="M97" s="9" t="s">
        <v>27</v>
      </c>
    </row>
    <row r="98" spans="1:13" ht="12.75">
      <c r="A98" s="9" t="s">
        <v>950</v>
      </c>
      <c r="B98" s="9" t="s">
        <v>951</v>
      </c>
      <c r="C98" s="9" t="s">
        <v>952</v>
      </c>
      <c r="D98" s="21" t="str">
        <f>"0,7061"</f>
        <v>0,7061</v>
      </c>
      <c r="E98" s="9" t="s">
        <v>16</v>
      </c>
      <c r="F98" s="22" t="s">
        <v>1526</v>
      </c>
      <c r="G98" s="9" t="s">
        <v>216</v>
      </c>
      <c r="H98" s="9" t="s">
        <v>33</v>
      </c>
      <c r="I98" s="9" t="s">
        <v>38</v>
      </c>
      <c r="J98" s="10"/>
      <c r="K98" s="9">
        <v>145</v>
      </c>
      <c r="L98" s="9" t="str">
        <f>"102,3845"</f>
        <v>102,3845</v>
      </c>
      <c r="M98" s="9" t="s">
        <v>1560</v>
      </c>
    </row>
    <row r="99" spans="1:13" ht="12.75">
      <c r="A99" s="9" t="s">
        <v>953</v>
      </c>
      <c r="B99" s="9" t="s">
        <v>954</v>
      </c>
      <c r="C99" s="9" t="s">
        <v>955</v>
      </c>
      <c r="D99" s="21" t="str">
        <f>"0,6754"</f>
        <v>0,6754</v>
      </c>
      <c r="E99" s="9" t="s">
        <v>16</v>
      </c>
      <c r="F99" s="22" t="s">
        <v>1526</v>
      </c>
      <c r="G99" s="9" t="s">
        <v>33</v>
      </c>
      <c r="H99" s="9" t="s">
        <v>38</v>
      </c>
      <c r="I99" s="10" t="s">
        <v>410</v>
      </c>
      <c r="J99" s="10"/>
      <c r="K99" s="9">
        <v>145</v>
      </c>
      <c r="L99" s="9" t="str">
        <f>"97,9330"</f>
        <v>97,9330</v>
      </c>
      <c r="M99" s="9" t="s">
        <v>1558</v>
      </c>
    </row>
    <row r="100" spans="1:13" ht="12.75">
      <c r="A100" s="9" t="s">
        <v>956</v>
      </c>
      <c r="B100" s="9" t="s">
        <v>957</v>
      </c>
      <c r="C100" s="9" t="s">
        <v>958</v>
      </c>
      <c r="D100" s="21" t="str">
        <f>"0,6764"</f>
        <v>0,6764</v>
      </c>
      <c r="E100" s="9" t="s">
        <v>16</v>
      </c>
      <c r="F100" s="22" t="s">
        <v>1505</v>
      </c>
      <c r="G100" s="9" t="s">
        <v>25</v>
      </c>
      <c r="H100" s="10" t="s">
        <v>58</v>
      </c>
      <c r="I100" s="10" t="s">
        <v>58</v>
      </c>
      <c r="J100" s="10"/>
      <c r="K100" s="9">
        <v>130</v>
      </c>
      <c r="L100" s="9" t="str">
        <f>"87,9320"</f>
        <v>87,9320</v>
      </c>
      <c r="M100" s="9" t="s">
        <v>959</v>
      </c>
    </row>
    <row r="101" spans="1:13" ht="12.75">
      <c r="A101" s="9" t="s">
        <v>960</v>
      </c>
      <c r="B101" s="9" t="s">
        <v>961</v>
      </c>
      <c r="C101" s="9" t="s">
        <v>962</v>
      </c>
      <c r="D101" s="21" t="str">
        <f>"0,6806"</f>
        <v>0,6806</v>
      </c>
      <c r="E101" s="9" t="s">
        <v>16</v>
      </c>
      <c r="F101" s="22" t="s">
        <v>1526</v>
      </c>
      <c r="G101" s="9" t="s">
        <v>963</v>
      </c>
      <c r="H101" s="10" t="s">
        <v>216</v>
      </c>
      <c r="I101" s="10" t="s">
        <v>216</v>
      </c>
      <c r="J101" s="10"/>
      <c r="K101" s="9">
        <v>112.5</v>
      </c>
      <c r="L101" s="9" t="str">
        <f>"76,5675"</f>
        <v>76,5675</v>
      </c>
      <c r="M101" s="9" t="s">
        <v>1555</v>
      </c>
    </row>
    <row r="102" spans="1:13" ht="12.75">
      <c r="A102" s="9" t="s">
        <v>964</v>
      </c>
      <c r="B102" s="9" t="s">
        <v>965</v>
      </c>
      <c r="C102" s="9" t="s">
        <v>966</v>
      </c>
      <c r="D102" s="21" t="str">
        <f>"0,6882"</f>
        <v>0,6882</v>
      </c>
      <c r="E102" s="9" t="s">
        <v>16</v>
      </c>
      <c r="F102" s="22" t="s">
        <v>967</v>
      </c>
      <c r="G102" s="10" t="s">
        <v>58</v>
      </c>
      <c r="H102" s="10" t="s">
        <v>58</v>
      </c>
      <c r="I102" s="10" t="s">
        <v>58</v>
      </c>
      <c r="J102" s="10"/>
      <c r="K102" s="9">
        <v>0</v>
      </c>
      <c r="L102" s="9" t="str">
        <f>"0,0000"</f>
        <v>0,0000</v>
      </c>
      <c r="M102" s="9" t="s">
        <v>968</v>
      </c>
    </row>
    <row r="103" spans="1:13" ht="12.75">
      <c r="A103" s="9" t="s">
        <v>969</v>
      </c>
      <c r="B103" s="9" t="s">
        <v>970</v>
      </c>
      <c r="C103" s="9" t="s">
        <v>966</v>
      </c>
      <c r="D103" s="21" t="str">
        <f>"0,6882"</f>
        <v>0,6882</v>
      </c>
      <c r="E103" s="9" t="s">
        <v>16</v>
      </c>
      <c r="F103" s="22" t="s">
        <v>1533</v>
      </c>
      <c r="G103" s="10" t="s">
        <v>30</v>
      </c>
      <c r="H103" s="10" t="s">
        <v>216</v>
      </c>
      <c r="I103" s="10" t="s">
        <v>216</v>
      </c>
      <c r="J103" s="10"/>
      <c r="K103" s="9">
        <v>0</v>
      </c>
      <c r="L103" s="9" t="str">
        <f>"0,0000"</f>
        <v>0,0000</v>
      </c>
      <c r="M103" s="9" t="s">
        <v>27</v>
      </c>
    </row>
    <row r="104" spans="1:13" ht="12.75">
      <c r="A104" s="9" t="s">
        <v>971</v>
      </c>
      <c r="B104" s="9" t="s">
        <v>972</v>
      </c>
      <c r="C104" s="9" t="s">
        <v>70</v>
      </c>
      <c r="D104" s="21" t="str">
        <f>"0,6739"</f>
        <v>0,6739</v>
      </c>
      <c r="E104" s="9" t="s">
        <v>16</v>
      </c>
      <c r="F104" s="22" t="s">
        <v>1526</v>
      </c>
      <c r="G104" s="10" t="s">
        <v>35</v>
      </c>
      <c r="H104" s="10"/>
      <c r="I104" s="10"/>
      <c r="J104" s="10"/>
      <c r="K104" s="9">
        <v>0</v>
      </c>
      <c r="L104" s="9" t="str">
        <f>"0,0000"</f>
        <v>0,0000</v>
      </c>
      <c r="M104" s="9" t="s">
        <v>1561</v>
      </c>
    </row>
    <row r="105" spans="1:13" ht="12.75">
      <c r="A105" s="9" t="s">
        <v>973</v>
      </c>
      <c r="B105" s="9" t="s">
        <v>974</v>
      </c>
      <c r="C105" s="9" t="s">
        <v>86</v>
      </c>
      <c r="D105" s="21" t="str">
        <f>"0,6734"</f>
        <v>0,6734</v>
      </c>
      <c r="E105" s="9" t="s">
        <v>16</v>
      </c>
      <c r="F105" s="22" t="s">
        <v>975</v>
      </c>
      <c r="G105" s="10" t="s">
        <v>99</v>
      </c>
      <c r="H105" s="10" t="s">
        <v>99</v>
      </c>
      <c r="I105" s="10" t="s">
        <v>99</v>
      </c>
      <c r="J105" s="10"/>
      <c r="K105" s="9">
        <v>0</v>
      </c>
      <c r="L105" s="9" t="str">
        <f>"0,0000"</f>
        <v>0,0000</v>
      </c>
      <c r="M105" s="9" t="s">
        <v>976</v>
      </c>
    </row>
    <row r="106" spans="1:13" ht="12.75">
      <c r="A106" s="9" t="s">
        <v>977</v>
      </c>
      <c r="B106" s="9" t="s">
        <v>978</v>
      </c>
      <c r="C106" s="9" t="s">
        <v>90</v>
      </c>
      <c r="D106" s="21" t="str">
        <f>"0,6704"</f>
        <v>0,6704</v>
      </c>
      <c r="E106" s="9" t="s">
        <v>16</v>
      </c>
      <c r="F106" s="22" t="s">
        <v>906</v>
      </c>
      <c r="G106" s="9" t="s">
        <v>36</v>
      </c>
      <c r="H106" s="10" t="s">
        <v>59</v>
      </c>
      <c r="I106" s="10" t="s">
        <v>59</v>
      </c>
      <c r="J106" s="10"/>
      <c r="K106" s="9">
        <v>155</v>
      </c>
      <c r="L106" s="9" t="str">
        <f>"117,6284"</f>
        <v>117,6284</v>
      </c>
      <c r="M106" s="9" t="s">
        <v>1562</v>
      </c>
    </row>
    <row r="107" spans="1:13" ht="12.75">
      <c r="A107" s="9" t="s">
        <v>941</v>
      </c>
      <c r="B107" s="9" t="s">
        <v>979</v>
      </c>
      <c r="C107" s="9" t="s">
        <v>355</v>
      </c>
      <c r="D107" s="21" t="str">
        <f>"0,6876"</f>
        <v>0,6876</v>
      </c>
      <c r="E107" s="9" t="s">
        <v>1485</v>
      </c>
      <c r="F107" s="22" t="s">
        <v>1529</v>
      </c>
      <c r="G107" s="9" t="s">
        <v>189</v>
      </c>
      <c r="H107" s="9" t="s">
        <v>410</v>
      </c>
      <c r="I107" s="10" t="s">
        <v>36</v>
      </c>
      <c r="J107" s="10"/>
      <c r="K107" s="9">
        <v>152.5</v>
      </c>
      <c r="L107" s="9" t="str">
        <f>"113,0380"</f>
        <v>113,0380</v>
      </c>
      <c r="M107" s="9" t="s">
        <v>27</v>
      </c>
    </row>
    <row r="108" spans="1:13" ht="12.75">
      <c r="A108" s="9" t="s">
        <v>980</v>
      </c>
      <c r="B108" s="9" t="s">
        <v>981</v>
      </c>
      <c r="C108" s="9" t="s">
        <v>949</v>
      </c>
      <c r="D108" s="21" t="str">
        <f>"0,6795"</f>
        <v>0,6795</v>
      </c>
      <c r="E108" s="9" t="s">
        <v>16</v>
      </c>
      <c r="F108" s="22" t="s">
        <v>812</v>
      </c>
      <c r="G108" s="9" t="s">
        <v>225</v>
      </c>
      <c r="H108" s="9" t="s">
        <v>216</v>
      </c>
      <c r="I108" s="10" t="s">
        <v>254</v>
      </c>
      <c r="J108" s="10"/>
      <c r="K108" s="9">
        <v>127.5</v>
      </c>
      <c r="L108" s="9" t="str">
        <f>"86,6362"</f>
        <v>86,6362</v>
      </c>
      <c r="M108" s="9" t="s">
        <v>1327</v>
      </c>
    </row>
    <row r="109" spans="1:13" ht="12.75">
      <c r="A109" s="9" t="s">
        <v>982</v>
      </c>
      <c r="B109" s="9" t="s">
        <v>983</v>
      </c>
      <c r="C109" s="9" t="s">
        <v>984</v>
      </c>
      <c r="D109" s="21" t="str">
        <f>"0,6922"</f>
        <v>0,6922</v>
      </c>
      <c r="E109" s="9" t="s">
        <v>16</v>
      </c>
      <c r="F109" s="22" t="s">
        <v>1526</v>
      </c>
      <c r="G109" s="9" t="s">
        <v>254</v>
      </c>
      <c r="H109" s="9" t="s">
        <v>33</v>
      </c>
      <c r="I109" s="10" t="s">
        <v>38</v>
      </c>
      <c r="J109" s="10"/>
      <c r="K109" s="9">
        <v>140</v>
      </c>
      <c r="L109" s="9" t="str">
        <f>"130,8258"</f>
        <v>130,8258</v>
      </c>
      <c r="M109" s="9" t="s">
        <v>27</v>
      </c>
    </row>
    <row r="110" spans="1:13" ht="12.75">
      <c r="A110" s="11" t="s">
        <v>359</v>
      </c>
      <c r="B110" s="11" t="s">
        <v>360</v>
      </c>
      <c r="C110" s="11" t="s">
        <v>60</v>
      </c>
      <c r="D110" s="24" t="str">
        <f>"0,6699"</f>
        <v>0,6699</v>
      </c>
      <c r="E110" s="11" t="s">
        <v>16</v>
      </c>
      <c r="F110" s="26" t="s">
        <v>1526</v>
      </c>
      <c r="G110" s="11" t="s">
        <v>24</v>
      </c>
      <c r="H110" s="12"/>
      <c r="I110" s="12"/>
      <c r="J110" s="12"/>
      <c r="K110" s="11">
        <v>120</v>
      </c>
      <c r="L110" s="11" t="str">
        <f>"95,4206"</f>
        <v>95,4206</v>
      </c>
      <c r="M110" s="11" t="s">
        <v>27</v>
      </c>
    </row>
    <row r="112" spans="1:12" ht="15">
      <c r="A112" s="116" t="s">
        <v>94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1:13" ht="12.75">
      <c r="A113" s="7" t="s">
        <v>985</v>
      </c>
      <c r="B113" s="7" t="s">
        <v>986</v>
      </c>
      <c r="C113" s="7" t="s">
        <v>987</v>
      </c>
      <c r="D113" s="23" t="str">
        <f>"0,6467"</f>
        <v>0,6467</v>
      </c>
      <c r="E113" s="7" t="s">
        <v>16</v>
      </c>
      <c r="F113" s="25" t="s">
        <v>988</v>
      </c>
      <c r="G113" s="7" t="s">
        <v>45</v>
      </c>
      <c r="H113" s="7" t="s">
        <v>17</v>
      </c>
      <c r="I113" s="8" t="s">
        <v>110</v>
      </c>
      <c r="J113" s="8"/>
      <c r="K113" s="7">
        <v>100</v>
      </c>
      <c r="L113" s="7" t="str">
        <f>"64,6700"</f>
        <v>64,6700</v>
      </c>
      <c r="M113" s="7" t="s">
        <v>989</v>
      </c>
    </row>
    <row r="114" spans="1:13" ht="12.75">
      <c r="A114" s="9" t="s">
        <v>990</v>
      </c>
      <c r="B114" s="9" t="s">
        <v>991</v>
      </c>
      <c r="C114" s="9" t="s">
        <v>96</v>
      </c>
      <c r="D114" s="21" t="str">
        <f>"0,6421"</f>
        <v>0,6421</v>
      </c>
      <c r="E114" s="9" t="s">
        <v>16</v>
      </c>
      <c r="F114" s="22" t="s">
        <v>906</v>
      </c>
      <c r="G114" s="10" t="s">
        <v>109</v>
      </c>
      <c r="H114" s="10" t="s">
        <v>109</v>
      </c>
      <c r="I114" s="10" t="s">
        <v>109</v>
      </c>
      <c r="J114" s="10"/>
      <c r="K114" s="9">
        <v>0</v>
      </c>
      <c r="L114" s="9" t="str">
        <f>"0,0000"</f>
        <v>0,0000</v>
      </c>
      <c r="M114" s="9" t="s">
        <v>27</v>
      </c>
    </row>
    <row r="115" spans="1:13" ht="12.75">
      <c r="A115" s="9" t="s">
        <v>377</v>
      </c>
      <c r="B115" s="9" t="s">
        <v>378</v>
      </c>
      <c r="C115" s="9" t="s">
        <v>379</v>
      </c>
      <c r="D115" s="21" t="str">
        <f>"0,6388"</f>
        <v>0,6388</v>
      </c>
      <c r="E115" s="9" t="s">
        <v>16</v>
      </c>
      <c r="F115" s="22" t="s">
        <v>1526</v>
      </c>
      <c r="G115" s="9" t="s">
        <v>99</v>
      </c>
      <c r="H115" s="10"/>
      <c r="I115" s="10"/>
      <c r="J115" s="10"/>
      <c r="K115" s="9">
        <v>175</v>
      </c>
      <c r="L115" s="9" t="str">
        <f>"111,7900"</f>
        <v>111,7900</v>
      </c>
      <c r="M115" s="9" t="s">
        <v>380</v>
      </c>
    </row>
    <row r="116" spans="1:13" ht="12.75">
      <c r="A116" s="9" t="s">
        <v>992</v>
      </c>
      <c r="B116" s="9" t="s">
        <v>993</v>
      </c>
      <c r="C116" s="9" t="s">
        <v>95</v>
      </c>
      <c r="D116" s="21" t="str">
        <f>"0,6475"</f>
        <v>0,6475</v>
      </c>
      <c r="E116" s="9" t="s">
        <v>16</v>
      </c>
      <c r="F116" s="22" t="s">
        <v>1526</v>
      </c>
      <c r="G116" s="9" t="s">
        <v>59</v>
      </c>
      <c r="H116" s="9" t="s">
        <v>42</v>
      </c>
      <c r="I116" s="10" t="s">
        <v>99</v>
      </c>
      <c r="J116" s="10"/>
      <c r="K116" s="9">
        <v>170</v>
      </c>
      <c r="L116" s="9" t="str">
        <f>"110,0750"</f>
        <v>110,0750</v>
      </c>
      <c r="M116" s="9" t="s">
        <v>1563</v>
      </c>
    </row>
    <row r="117" spans="1:13" ht="12.75">
      <c r="A117" s="9" t="s">
        <v>994</v>
      </c>
      <c r="B117" s="9" t="s">
        <v>995</v>
      </c>
      <c r="C117" s="9" t="s">
        <v>996</v>
      </c>
      <c r="D117" s="21" t="str">
        <f>"0,6451"</f>
        <v>0,6451</v>
      </c>
      <c r="E117" s="9" t="s">
        <v>16</v>
      </c>
      <c r="F117" s="22" t="s">
        <v>1526</v>
      </c>
      <c r="G117" s="9" t="s">
        <v>216</v>
      </c>
      <c r="H117" s="9" t="s">
        <v>254</v>
      </c>
      <c r="I117" s="10" t="s">
        <v>308</v>
      </c>
      <c r="J117" s="10"/>
      <c r="K117" s="9">
        <v>132.5</v>
      </c>
      <c r="L117" s="9" t="str">
        <f>"85,4757"</f>
        <v>85,4757</v>
      </c>
      <c r="M117" s="9" t="s">
        <v>1560</v>
      </c>
    </row>
    <row r="118" spans="1:13" ht="12.75">
      <c r="A118" s="9" t="s">
        <v>997</v>
      </c>
      <c r="B118" s="9" t="s">
        <v>998</v>
      </c>
      <c r="C118" s="9" t="s">
        <v>396</v>
      </c>
      <c r="D118" s="21" t="str">
        <f>"0,6428"</f>
        <v>0,6428</v>
      </c>
      <c r="E118" s="9" t="s">
        <v>16</v>
      </c>
      <c r="F118" s="22" t="s">
        <v>999</v>
      </c>
      <c r="G118" s="9" t="s">
        <v>43</v>
      </c>
      <c r="H118" s="9" t="s">
        <v>48</v>
      </c>
      <c r="I118" s="9" t="s">
        <v>1000</v>
      </c>
      <c r="J118" s="10"/>
      <c r="K118" s="9">
        <v>195</v>
      </c>
      <c r="L118" s="9" t="str">
        <f>"125,3460"</f>
        <v>125,3460</v>
      </c>
      <c r="M118" s="9" t="s">
        <v>27</v>
      </c>
    </row>
    <row r="119" spans="1:13" ht="12.75">
      <c r="A119" s="9" t="s">
        <v>1001</v>
      </c>
      <c r="B119" s="9" t="s">
        <v>1002</v>
      </c>
      <c r="C119" s="9" t="s">
        <v>97</v>
      </c>
      <c r="D119" s="21" t="str">
        <f>"0,6384"</f>
        <v>0,6384</v>
      </c>
      <c r="E119" s="9" t="s">
        <v>16</v>
      </c>
      <c r="F119" s="22" t="s">
        <v>1532</v>
      </c>
      <c r="G119" s="9" t="s">
        <v>48</v>
      </c>
      <c r="H119" s="10" t="s">
        <v>283</v>
      </c>
      <c r="I119" s="10" t="s">
        <v>1000</v>
      </c>
      <c r="J119" s="10"/>
      <c r="K119" s="9">
        <v>190</v>
      </c>
      <c r="L119" s="9" t="str">
        <f>"121,2960"</f>
        <v>121,2960</v>
      </c>
      <c r="M119" s="9" t="s">
        <v>1003</v>
      </c>
    </row>
    <row r="120" spans="1:13" ht="12.75">
      <c r="A120" s="9" t="s">
        <v>1004</v>
      </c>
      <c r="B120" s="9" t="s">
        <v>1005</v>
      </c>
      <c r="C120" s="9" t="s">
        <v>96</v>
      </c>
      <c r="D120" s="21" t="str">
        <f>"0,6421"</f>
        <v>0,6421</v>
      </c>
      <c r="E120" s="9" t="s">
        <v>16</v>
      </c>
      <c r="F120" s="22" t="s">
        <v>1006</v>
      </c>
      <c r="G120" s="9" t="s">
        <v>121</v>
      </c>
      <c r="H120" s="10" t="s">
        <v>48</v>
      </c>
      <c r="I120" s="10" t="s">
        <v>48</v>
      </c>
      <c r="J120" s="10"/>
      <c r="K120" s="9">
        <v>185</v>
      </c>
      <c r="L120" s="9" t="str">
        <f>"118,7885"</f>
        <v>118,7885</v>
      </c>
      <c r="M120" s="9" t="s">
        <v>27</v>
      </c>
    </row>
    <row r="121" spans="1:13" ht="12.75">
      <c r="A121" s="9" t="s">
        <v>1007</v>
      </c>
      <c r="B121" s="9" t="s">
        <v>1008</v>
      </c>
      <c r="C121" s="9" t="s">
        <v>1009</v>
      </c>
      <c r="D121" s="21" t="str">
        <f>"0,6424"</f>
        <v>0,6424</v>
      </c>
      <c r="E121" s="9" t="s">
        <v>16</v>
      </c>
      <c r="F121" s="22" t="s">
        <v>1526</v>
      </c>
      <c r="G121" s="9" t="s">
        <v>42</v>
      </c>
      <c r="H121" s="9" t="s">
        <v>99</v>
      </c>
      <c r="I121" s="9" t="s">
        <v>43</v>
      </c>
      <c r="J121" s="10"/>
      <c r="K121" s="9">
        <v>180</v>
      </c>
      <c r="L121" s="9" t="str">
        <f>"115,6320"</f>
        <v>115,6320</v>
      </c>
      <c r="M121" s="9" t="s">
        <v>27</v>
      </c>
    </row>
    <row r="122" spans="1:13" ht="12.75">
      <c r="A122" s="9" t="s">
        <v>397</v>
      </c>
      <c r="B122" s="9" t="s">
        <v>398</v>
      </c>
      <c r="C122" s="9" t="s">
        <v>363</v>
      </c>
      <c r="D122" s="21" t="str">
        <f>"0,6410"</f>
        <v>0,6410</v>
      </c>
      <c r="E122" s="9" t="s">
        <v>340</v>
      </c>
      <c r="F122" s="22" t="s">
        <v>341</v>
      </c>
      <c r="G122" s="9" t="s">
        <v>399</v>
      </c>
      <c r="H122" s="10" t="s">
        <v>43</v>
      </c>
      <c r="I122" s="10" t="s">
        <v>43</v>
      </c>
      <c r="J122" s="10"/>
      <c r="K122" s="9">
        <v>177.5</v>
      </c>
      <c r="L122" s="9" t="str">
        <f>"113,7775"</f>
        <v>113,7775</v>
      </c>
      <c r="M122" s="9" t="s">
        <v>343</v>
      </c>
    </row>
    <row r="123" spans="1:13" ht="12.75">
      <c r="A123" s="9" t="s">
        <v>1010</v>
      </c>
      <c r="B123" s="9" t="s">
        <v>1011</v>
      </c>
      <c r="C123" s="9" t="s">
        <v>97</v>
      </c>
      <c r="D123" s="21" t="str">
        <f>"0,6384"</f>
        <v>0,6384</v>
      </c>
      <c r="E123" s="9" t="s">
        <v>16</v>
      </c>
      <c r="F123" s="22" t="s">
        <v>1012</v>
      </c>
      <c r="G123" s="9" t="s">
        <v>99</v>
      </c>
      <c r="H123" s="10" t="s">
        <v>43</v>
      </c>
      <c r="I123" s="10" t="s">
        <v>43</v>
      </c>
      <c r="J123" s="10"/>
      <c r="K123" s="9">
        <v>175</v>
      </c>
      <c r="L123" s="9" t="str">
        <f>"111,7200"</f>
        <v>111,7200</v>
      </c>
      <c r="M123" s="9" t="s">
        <v>27</v>
      </c>
    </row>
    <row r="124" spans="1:13" ht="12.75">
      <c r="A124" s="9" t="s">
        <v>1013</v>
      </c>
      <c r="B124" s="9" t="s">
        <v>1014</v>
      </c>
      <c r="C124" s="9" t="s">
        <v>100</v>
      </c>
      <c r="D124" s="21" t="str">
        <f>"0,6483"</f>
        <v>0,6483</v>
      </c>
      <c r="E124" s="9" t="s">
        <v>16</v>
      </c>
      <c r="F124" s="22" t="s">
        <v>61</v>
      </c>
      <c r="G124" s="9" t="s">
        <v>109</v>
      </c>
      <c r="H124" s="10" t="s">
        <v>99</v>
      </c>
      <c r="I124" s="10" t="s">
        <v>99</v>
      </c>
      <c r="J124" s="10"/>
      <c r="K124" s="9">
        <v>165</v>
      </c>
      <c r="L124" s="9" t="str">
        <f>"106,9695"</f>
        <v>106,9695</v>
      </c>
      <c r="M124" s="9" t="s">
        <v>27</v>
      </c>
    </row>
    <row r="125" spans="1:13" ht="12.75">
      <c r="A125" s="9" t="s">
        <v>1015</v>
      </c>
      <c r="B125" s="9" t="s">
        <v>1016</v>
      </c>
      <c r="C125" s="9" t="s">
        <v>105</v>
      </c>
      <c r="D125" s="21" t="str">
        <f>"0,6395"</f>
        <v>0,6395</v>
      </c>
      <c r="E125" s="9" t="s">
        <v>16</v>
      </c>
      <c r="F125" s="22" t="s">
        <v>76</v>
      </c>
      <c r="G125" s="9" t="s">
        <v>35</v>
      </c>
      <c r="H125" s="9" t="s">
        <v>123</v>
      </c>
      <c r="I125" s="9" t="s">
        <v>109</v>
      </c>
      <c r="J125" s="10"/>
      <c r="K125" s="9">
        <v>165</v>
      </c>
      <c r="L125" s="9" t="str">
        <f>"105,5175"</f>
        <v>105,5175</v>
      </c>
      <c r="M125" s="9" t="s">
        <v>1017</v>
      </c>
    </row>
    <row r="126" spans="1:13" ht="12.75">
      <c r="A126" s="9" t="s">
        <v>1018</v>
      </c>
      <c r="B126" s="9" t="s">
        <v>1019</v>
      </c>
      <c r="C126" s="9" t="s">
        <v>1009</v>
      </c>
      <c r="D126" s="21" t="str">
        <f>"0,6424"</f>
        <v>0,6424</v>
      </c>
      <c r="E126" s="9" t="s">
        <v>16</v>
      </c>
      <c r="F126" s="22" t="s">
        <v>1503</v>
      </c>
      <c r="G126" s="9" t="s">
        <v>36</v>
      </c>
      <c r="H126" s="10" t="s">
        <v>59</v>
      </c>
      <c r="I126" s="10" t="s">
        <v>59</v>
      </c>
      <c r="J126" s="10"/>
      <c r="K126" s="9">
        <v>155</v>
      </c>
      <c r="L126" s="9" t="str">
        <f>"99,5720"</f>
        <v>99,5720</v>
      </c>
      <c r="M126" s="9" t="s">
        <v>1564</v>
      </c>
    </row>
    <row r="127" spans="1:13" ht="12.75">
      <c r="A127" s="9" t="s">
        <v>1020</v>
      </c>
      <c r="B127" s="9" t="s">
        <v>1021</v>
      </c>
      <c r="C127" s="9" t="s">
        <v>1022</v>
      </c>
      <c r="D127" s="21" t="str">
        <f>"0,6503"</f>
        <v>0,6503</v>
      </c>
      <c r="E127" s="9" t="s">
        <v>16</v>
      </c>
      <c r="F127" s="22" t="s">
        <v>316</v>
      </c>
      <c r="G127" s="9" t="s">
        <v>410</v>
      </c>
      <c r="H127" s="10" t="s">
        <v>330</v>
      </c>
      <c r="I127" s="10" t="s">
        <v>330</v>
      </c>
      <c r="J127" s="10"/>
      <c r="K127" s="9">
        <v>152.5</v>
      </c>
      <c r="L127" s="9" t="str">
        <f>"99,1708"</f>
        <v>99,1708</v>
      </c>
      <c r="M127" s="9" t="s">
        <v>1565</v>
      </c>
    </row>
    <row r="128" spans="1:13" ht="12.75">
      <c r="A128" s="9" t="s">
        <v>1023</v>
      </c>
      <c r="B128" s="9" t="s">
        <v>1024</v>
      </c>
      <c r="C128" s="9" t="s">
        <v>414</v>
      </c>
      <c r="D128" s="21" t="str">
        <f>"0,6455"</f>
        <v>0,6455</v>
      </c>
      <c r="E128" s="9" t="s">
        <v>16</v>
      </c>
      <c r="F128" s="22" t="s">
        <v>431</v>
      </c>
      <c r="G128" s="9" t="s">
        <v>38</v>
      </c>
      <c r="H128" s="9" t="s">
        <v>410</v>
      </c>
      <c r="I128" s="10" t="s">
        <v>330</v>
      </c>
      <c r="J128" s="10"/>
      <c r="K128" s="9">
        <v>152.5</v>
      </c>
      <c r="L128" s="9" t="str">
        <f>"98,4388"</f>
        <v>98,4388</v>
      </c>
      <c r="M128" s="9" t="s">
        <v>1025</v>
      </c>
    </row>
    <row r="129" spans="1:13" ht="12.75">
      <c r="A129" s="9" t="s">
        <v>1026</v>
      </c>
      <c r="B129" s="9" t="s">
        <v>1027</v>
      </c>
      <c r="C129" s="9" t="s">
        <v>105</v>
      </c>
      <c r="D129" s="21" t="str">
        <f>"0,6395"</f>
        <v>0,6395</v>
      </c>
      <c r="E129" s="9" t="s">
        <v>16</v>
      </c>
      <c r="F129" s="22" t="s">
        <v>431</v>
      </c>
      <c r="G129" s="9" t="s">
        <v>24</v>
      </c>
      <c r="H129" s="9" t="s">
        <v>254</v>
      </c>
      <c r="I129" s="10" t="s">
        <v>58</v>
      </c>
      <c r="J129" s="10"/>
      <c r="K129" s="9">
        <v>132.5</v>
      </c>
      <c r="L129" s="9" t="str">
        <f>"84,7338"</f>
        <v>84,7338</v>
      </c>
      <c r="M129" s="9" t="s">
        <v>1025</v>
      </c>
    </row>
    <row r="130" spans="1:13" ht="12.75">
      <c r="A130" s="9" t="s">
        <v>1028</v>
      </c>
      <c r="B130" s="9" t="s">
        <v>1029</v>
      </c>
      <c r="C130" s="9" t="s">
        <v>396</v>
      </c>
      <c r="D130" s="21" t="str">
        <f>"0,6428"</f>
        <v>0,6428</v>
      </c>
      <c r="E130" s="9" t="s">
        <v>16</v>
      </c>
      <c r="F130" s="22" t="s">
        <v>1526</v>
      </c>
      <c r="G130" s="9" t="s">
        <v>30</v>
      </c>
      <c r="H130" s="10" t="s">
        <v>254</v>
      </c>
      <c r="I130" s="10" t="s">
        <v>254</v>
      </c>
      <c r="J130" s="10"/>
      <c r="K130" s="9">
        <v>125</v>
      </c>
      <c r="L130" s="9" t="str">
        <f>"80,3500"</f>
        <v>80,3500</v>
      </c>
      <c r="M130" s="9" t="s">
        <v>27</v>
      </c>
    </row>
    <row r="131" spans="1:13" ht="12.75">
      <c r="A131" s="9" t="s">
        <v>1030</v>
      </c>
      <c r="B131" s="9" t="s">
        <v>1031</v>
      </c>
      <c r="C131" s="9" t="s">
        <v>1032</v>
      </c>
      <c r="D131" s="21" t="str">
        <f>"0,6615"</f>
        <v>0,6615</v>
      </c>
      <c r="E131" s="9" t="s">
        <v>16</v>
      </c>
      <c r="F131" s="22" t="s">
        <v>1526</v>
      </c>
      <c r="G131" s="10" t="s">
        <v>308</v>
      </c>
      <c r="H131" s="10" t="s">
        <v>308</v>
      </c>
      <c r="I131" s="10" t="s">
        <v>308</v>
      </c>
      <c r="J131" s="10"/>
      <c r="K131" s="9">
        <v>0</v>
      </c>
      <c r="L131" s="9" t="str">
        <f>"0,0000"</f>
        <v>0,0000</v>
      </c>
      <c r="M131" s="9" t="s">
        <v>27</v>
      </c>
    </row>
    <row r="132" spans="1:13" ht="12.75">
      <c r="A132" s="9" t="s">
        <v>1033</v>
      </c>
      <c r="B132" s="9" t="s">
        <v>1034</v>
      </c>
      <c r="C132" s="9" t="s">
        <v>102</v>
      </c>
      <c r="D132" s="21" t="str">
        <f>"0,6440"</f>
        <v>0,6440</v>
      </c>
      <c r="E132" s="9" t="s">
        <v>16</v>
      </c>
      <c r="F132" s="22" t="s">
        <v>1526</v>
      </c>
      <c r="G132" s="10" t="s">
        <v>130</v>
      </c>
      <c r="H132" s="10" t="s">
        <v>130</v>
      </c>
      <c r="I132" s="10" t="s">
        <v>130</v>
      </c>
      <c r="J132" s="10"/>
      <c r="K132" s="9">
        <v>0</v>
      </c>
      <c r="L132" s="9" t="str">
        <f>"0,0000"</f>
        <v>0,0000</v>
      </c>
      <c r="M132" s="9" t="s">
        <v>27</v>
      </c>
    </row>
    <row r="133" spans="1:13" ht="12.75">
      <c r="A133" s="9" t="s">
        <v>425</v>
      </c>
      <c r="B133" s="9" t="s">
        <v>426</v>
      </c>
      <c r="C133" s="9" t="s">
        <v>97</v>
      </c>
      <c r="D133" s="21" t="str">
        <f>"0,6384"</f>
        <v>0,6384</v>
      </c>
      <c r="E133" s="9" t="s">
        <v>1485</v>
      </c>
      <c r="F133" s="22" t="s">
        <v>1529</v>
      </c>
      <c r="G133" s="10"/>
      <c r="H133" s="10"/>
      <c r="I133" s="10"/>
      <c r="J133" s="10"/>
      <c r="K133" s="9">
        <v>0</v>
      </c>
      <c r="L133" s="9" t="str">
        <f>"0,0000"</f>
        <v>0,0000</v>
      </c>
      <c r="M133" s="9" t="s">
        <v>27</v>
      </c>
    </row>
    <row r="134" spans="1:13" ht="12.75">
      <c r="A134" s="9" t="s">
        <v>1015</v>
      </c>
      <c r="B134" s="9" t="s">
        <v>1035</v>
      </c>
      <c r="C134" s="9" t="s">
        <v>105</v>
      </c>
      <c r="D134" s="21" t="str">
        <f>"0,6395"</f>
        <v>0,6395</v>
      </c>
      <c r="E134" s="9" t="s">
        <v>16</v>
      </c>
      <c r="F134" s="22" t="s">
        <v>76</v>
      </c>
      <c r="G134" s="9" t="s">
        <v>35</v>
      </c>
      <c r="H134" s="9" t="s">
        <v>123</v>
      </c>
      <c r="I134" s="9" t="s">
        <v>109</v>
      </c>
      <c r="J134" s="10"/>
      <c r="K134" s="9">
        <v>165</v>
      </c>
      <c r="L134" s="9" t="str">
        <f>"106,0451"</f>
        <v>106,0451</v>
      </c>
      <c r="M134" s="9" t="s">
        <v>1017</v>
      </c>
    </row>
    <row r="135" spans="1:13" ht="12.75">
      <c r="A135" s="9" t="s">
        <v>1036</v>
      </c>
      <c r="B135" s="9" t="s">
        <v>1037</v>
      </c>
      <c r="C135" s="9" t="s">
        <v>1038</v>
      </c>
      <c r="D135" s="21" t="str">
        <f>"0,6391"</f>
        <v>0,6391</v>
      </c>
      <c r="E135" s="9" t="s">
        <v>16</v>
      </c>
      <c r="F135" s="22" t="s">
        <v>792</v>
      </c>
      <c r="G135" s="9" t="s">
        <v>59</v>
      </c>
      <c r="H135" s="9" t="s">
        <v>109</v>
      </c>
      <c r="I135" s="10" t="s">
        <v>348</v>
      </c>
      <c r="J135" s="10"/>
      <c r="K135" s="9">
        <v>165</v>
      </c>
      <c r="L135" s="9" t="str">
        <f>"105,4515"</f>
        <v>105,4515</v>
      </c>
      <c r="M135" s="9" t="s">
        <v>910</v>
      </c>
    </row>
    <row r="136" spans="1:13" ht="12.75">
      <c r="A136" s="11" t="s">
        <v>1039</v>
      </c>
      <c r="B136" s="11" t="s">
        <v>1040</v>
      </c>
      <c r="C136" s="11" t="s">
        <v>387</v>
      </c>
      <c r="D136" s="24" t="str">
        <f>"0,6532"</f>
        <v>0,6532</v>
      </c>
      <c r="E136" s="11" t="s">
        <v>16</v>
      </c>
      <c r="F136" s="26" t="s">
        <v>431</v>
      </c>
      <c r="G136" s="12" t="s">
        <v>58</v>
      </c>
      <c r="H136" s="11" t="s">
        <v>308</v>
      </c>
      <c r="I136" s="11" t="s">
        <v>130</v>
      </c>
      <c r="J136" s="12"/>
      <c r="K136" s="11">
        <v>142.5</v>
      </c>
      <c r="L136" s="11" t="str">
        <f>"98,6659"</f>
        <v>98,6659</v>
      </c>
      <c r="M136" s="11" t="s">
        <v>27</v>
      </c>
    </row>
    <row r="138" spans="1:12" ht="15">
      <c r="A138" s="116" t="s">
        <v>111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1:13" ht="12.75">
      <c r="A139" s="7" t="s">
        <v>1041</v>
      </c>
      <c r="B139" s="7" t="s">
        <v>1042</v>
      </c>
      <c r="C139" s="7" t="s">
        <v>1043</v>
      </c>
      <c r="D139" s="7" t="str">
        <f>"0,6260"</f>
        <v>0,6260</v>
      </c>
      <c r="E139" s="7" t="s">
        <v>16</v>
      </c>
      <c r="F139" s="7" t="s">
        <v>1044</v>
      </c>
      <c r="G139" s="7" t="s">
        <v>109</v>
      </c>
      <c r="H139" s="7" t="s">
        <v>301</v>
      </c>
      <c r="I139" s="8" t="s">
        <v>399</v>
      </c>
      <c r="J139" s="8"/>
      <c r="K139" s="7">
        <v>172.5</v>
      </c>
      <c r="L139" s="7" t="str">
        <f>"107,9850"</f>
        <v>107,9850</v>
      </c>
      <c r="M139" s="7" t="s">
        <v>27</v>
      </c>
    </row>
    <row r="140" spans="1:13" ht="12.75">
      <c r="A140" s="9" t="s">
        <v>1045</v>
      </c>
      <c r="B140" s="9" t="s">
        <v>1046</v>
      </c>
      <c r="C140" s="9" t="s">
        <v>502</v>
      </c>
      <c r="D140" s="9" t="str">
        <f>"0,6106"</f>
        <v>0,6106</v>
      </c>
      <c r="E140" s="9" t="s">
        <v>16</v>
      </c>
      <c r="F140" s="9" t="s">
        <v>1047</v>
      </c>
      <c r="G140" s="10" t="s">
        <v>38</v>
      </c>
      <c r="H140" s="10" t="s">
        <v>38</v>
      </c>
      <c r="I140" s="9" t="s">
        <v>38</v>
      </c>
      <c r="J140" s="10"/>
      <c r="K140" s="9">
        <v>145</v>
      </c>
      <c r="L140" s="9" t="str">
        <f>"88,5370"</f>
        <v>88,5370</v>
      </c>
      <c r="M140" s="9" t="s">
        <v>27</v>
      </c>
    </row>
    <row r="141" spans="1:13" ht="12.75">
      <c r="A141" s="9" t="s">
        <v>1048</v>
      </c>
      <c r="B141" s="9" t="s">
        <v>1049</v>
      </c>
      <c r="C141" s="9" t="s">
        <v>457</v>
      </c>
      <c r="D141" s="9" t="str">
        <f>"0,6169"</f>
        <v>0,6169</v>
      </c>
      <c r="E141" s="9" t="s">
        <v>16</v>
      </c>
      <c r="F141" s="9" t="s">
        <v>179</v>
      </c>
      <c r="G141" s="9" t="s">
        <v>399</v>
      </c>
      <c r="H141" s="9" t="s">
        <v>121</v>
      </c>
      <c r="I141" s="9" t="s">
        <v>48</v>
      </c>
      <c r="J141" s="10"/>
      <c r="K141" s="9">
        <v>190</v>
      </c>
      <c r="L141" s="9" t="str">
        <f>"117,2110"</f>
        <v>117,2110</v>
      </c>
      <c r="M141" s="9" t="s">
        <v>27</v>
      </c>
    </row>
    <row r="142" spans="1:13" ht="12.75">
      <c r="A142" s="9" t="s">
        <v>1050</v>
      </c>
      <c r="B142" s="9" t="s">
        <v>1051</v>
      </c>
      <c r="C142" s="9" t="s">
        <v>502</v>
      </c>
      <c r="D142" s="9" t="str">
        <f>"0,6106"</f>
        <v>0,6106</v>
      </c>
      <c r="E142" s="9" t="s">
        <v>16</v>
      </c>
      <c r="F142" s="9" t="s">
        <v>1526</v>
      </c>
      <c r="G142" s="9" t="s">
        <v>48</v>
      </c>
      <c r="H142" s="9" t="s">
        <v>309</v>
      </c>
      <c r="I142" s="9" t="s">
        <v>284</v>
      </c>
      <c r="J142" s="10"/>
      <c r="K142" s="9">
        <v>202.5</v>
      </c>
      <c r="L142" s="9" t="str">
        <f>"123,6465"</f>
        <v>123,6465</v>
      </c>
      <c r="M142" s="9" t="s">
        <v>448</v>
      </c>
    </row>
    <row r="143" spans="1:13" ht="12.75">
      <c r="A143" s="9" t="s">
        <v>1052</v>
      </c>
      <c r="B143" s="9" t="s">
        <v>1053</v>
      </c>
      <c r="C143" s="9" t="s">
        <v>1054</v>
      </c>
      <c r="D143" s="9" t="str">
        <f>"0,6118"</f>
        <v>0,6118</v>
      </c>
      <c r="E143" s="9" t="s">
        <v>16</v>
      </c>
      <c r="F143" s="9" t="s">
        <v>1055</v>
      </c>
      <c r="G143" s="10" t="s">
        <v>283</v>
      </c>
      <c r="H143" s="9" t="s">
        <v>283</v>
      </c>
      <c r="I143" s="9" t="s">
        <v>44</v>
      </c>
      <c r="J143" s="10"/>
      <c r="K143" s="9">
        <v>200</v>
      </c>
      <c r="L143" s="9" t="str">
        <f>"122,3600"</f>
        <v>122,3600</v>
      </c>
      <c r="M143" s="9" t="s">
        <v>27</v>
      </c>
    </row>
    <row r="144" spans="1:13" ht="12.75">
      <c r="A144" s="9" t="s">
        <v>449</v>
      </c>
      <c r="B144" s="9" t="s">
        <v>450</v>
      </c>
      <c r="C144" s="9" t="s">
        <v>112</v>
      </c>
      <c r="D144" s="9" t="str">
        <f>"0,6194"</f>
        <v>0,6194</v>
      </c>
      <c r="E144" s="9" t="s">
        <v>340</v>
      </c>
      <c r="F144" s="9" t="s">
        <v>341</v>
      </c>
      <c r="G144" s="9" t="s">
        <v>99</v>
      </c>
      <c r="H144" s="9" t="s">
        <v>342</v>
      </c>
      <c r="I144" s="9" t="s">
        <v>309</v>
      </c>
      <c r="J144" s="10"/>
      <c r="K144" s="9">
        <v>197.5</v>
      </c>
      <c r="L144" s="9" t="str">
        <f>"122,3315"</f>
        <v>122,3315</v>
      </c>
      <c r="M144" s="9" t="s">
        <v>343</v>
      </c>
    </row>
    <row r="145" spans="1:13" ht="12.75">
      <c r="A145" s="9" t="s">
        <v>1056</v>
      </c>
      <c r="B145" s="9" t="s">
        <v>1057</v>
      </c>
      <c r="C145" s="9" t="s">
        <v>131</v>
      </c>
      <c r="D145" s="9" t="str">
        <f>"0,6142"</f>
        <v>0,6142</v>
      </c>
      <c r="E145" s="9" t="s">
        <v>16</v>
      </c>
      <c r="F145" s="9" t="s">
        <v>374</v>
      </c>
      <c r="G145" s="9" t="s">
        <v>43</v>
      </c>
      <c r="H145" s="9" t="s">
        <v>48</v>
      </c>
      <c r="I145" s="10" t="s">
        <v>342</v>
      </c>
      <c r="J145" s="10"/>
      <c r="K145" s="9">
        <v>190</v>
      </c>
      <c r="L145" s="9" t="str">
        <f>"116,6980"</f>
        <v>116,6980</v>
      </c>
      <c r="M145" s="9" t="s">
        <v>27</v>
      </c>
    </row>
    <row r="146" spans="1:13" ht="12.75">
      <c r="A146" s="9" t="s">
        <v>1058</v>
      </c>
      <c r="B146" s="9" t="s">
        <v>1059</v>
      </c>
      <c r="C146" s="9" t="s">
        <v>1060</v>
      </c>
      <c r="D146" s="9" t="str">
        <f>"0,6150"</f>
        <v>0,6150</v>
      </c>
      <c r="E146" s="9" t="s">
        <v>16</v>
      </c>
      <c r="F146" s="9" t="s">
        <v>1542</v>
      </c>
      <c r="G146" s="9" t="s">
        <v>123</v>
      </c>
      <c r="H146" s="10" t="s">
        <v>348</v>
      </c>
      <c r="I146" s="9" t="s">
        <v>348</v>
      </c>
      <c r="J146" s="10"/>
      <c r="K146" s="9">
        <v>167.5</v>
      </c>
      <c r="L146" s="9" t="str">
        <f>"103,0125"</f>
        <v>103,0125</v>
      </c>
      <c r="M146" s="9" t="s">
        <v>27</v>
      </c>
    </row>
    <row r="147" spans="1:13" ht="12.75">
      <c r="A147" s="9" t="s">
        <v>1061</v>
      </c>
      <c r="B147" s="9" t="s">
        <v>1062</v>
      </c>
      <c r="C147" s="9" t="s">
        <v>502</v>
      </c>
      <c r="D147" s="9" t="str">
        <f>"0,6106"</f>
        <v>0,6106</v>
      </c>
      <c r="E147" s="9" t="s">
        <v>16</v>
      </c>
      <c r="F147" s="9" t="s">
        <v>1063</v>
      </c>
      <c r="G147" s="9" t="s">
        <v>123</v>
      </c>
      <c r="H147" s="9" t="s">
        <v>109</v>
      </c>
      <c r="I147" s="10" t="s">
        <v>42</v>
      </c>
      <c r="J147" s="10"/>
      <c r="K147" s="9">
        <v>165</v>
      </c>
      <c r="L147" s="9" t="str">
        <f>"100,7490"</f>
        <v>100,7490</v>
      </c>
      <c r="M147" s="9" t="s">
        <v>27</v>
      </c>
    </row>
    <row r="148" spans="1:13" ht="12.75">
      <c r="A148" s="9" t="s">
        <v>486</v>
      </c>
      <c r="B148" s="9" t="s">
        <v>3197</v>
      </c>
      <c r="C148" s="9" t="s">
        <v>487</v>
      </c>
      <c r="D148" s="9" t="str">
        <f>"0,6238"</f>
        <v>0,6238</v>
      </c>
      <c r="E148" s="9" t="s">
        <v>1487</v>
      </c>
      <c r="F148" s="9" t="s">
        <v>341</v>
      </c>
      <c r="G148" s="9" t="s">
        <v>410</v>
      </c>
      <c r="H148" s="10" t="s">
        <v>123</v>
      </c>
      <c r="I148" s="9" t="s">
        <v>123</v>
      </c>
      <c r="J148" s="10"/>
      <c r="K148" s="9">
        <v>162.5</v>
      </c>
      <c r="L148" s="9" t="str">
        <f>"101,3675"</f>
        <v>101,3675</v>
      </c>
      <c r="M148" s="9" t="s">
        <v>343</v>
      </c>
    </row>
    <row r="149" spans="1:13" ht="12.75">
      <c r="A149" s="9" t="s">
        <v>1064</v>
      </c>
      <c r="B149" s="9" t="s">
        <v>1065</v>
      </c>
      <c r="C149" s="9" t="s">
        <v>457</v>
      </c>
      <c r="D149" s="9" t="str">
        <f>"0,6169"</f>
        <v>0,6169</v>
      </c>
      <c r="E149" s="9" t="s">
        <v>16</v>
      </c>
      <c r="F149" s="9" t="s">
        <v>1066</v>
      </c>
      <c r="G149" s="9" t="s">
        <v>36</v>
      </c>
      <c r="H149" s="9" t="s">
        <v>123</v>
      </c>
      <c r="I149" s="10" t="s">
        <v>109</v>
      </c>
      <c r="J149" s="10"/>
      <c r="K149" s="9">
        <v>162.5</v>
      </c>
      <c r="L149" s="9" t="str">
        <f>"100,2463"</f>
        <v>100,2463</v>
      </c>
      <c r="M149" s="9" t="s">
        <v>1067</v>
      </c>
    </row>
    <row r="150" spans="1:13" ht="12.75">
      <c r="A150" s="9" t="s">
        <v>1068</v>
      </c>
      <c r="B150" s="9" t="s">
        <v>1069</v>
      </c>
      <c r="C150" s="9" t="s">
        <v>120</v>
      </c>
      <c r="D150" s="9" t="str">
        <f>"0,6152"</f>
        <v>0,6152</v>
      </c>
      <c r="E150" s="9" t="s">
        <v>16</v>
      </c>
      <c r="F150" s="9" t="s">
        <v>1526</v>
      </c>
      <c r="G150" s="9" t="s">
        <v>33</v>
      </c>
      <c r="H150" s="9" t="s">
        <v>35</v>
      </c>
      <c r="I150" s="9" t="s">
        <v>59</v>
      </c>
      <c r="J150" s="10"/>
      <c r="K150" s="9">
        <v>160</v>
      </c>
      <c r="L150" s="9" t="str">
        <f>"98,4320"</f>
        <v>98,4320</v>
      </c>
      <c r="M150" s="9" t="s">
        <v>1553</v>
      </c>
    </row>
    <row r="151" spans="1:13" ht="12.75">
      <c r="A151" s="9" t="s">
        <v>1070</v>
      </c>
      <c r="B151" s="9" t="s">
        <v>1071</v>
      </c>
      <c r="C151" s="9" t="s">
        <v>1072</v>
      </c>
      <c r="D151" s="9" t="str">
        <f>"0,6098"</f>
        <v>0,6098</v>
      </c>
      <c r="E151" s="9" t="s">
        <v>16</v>
      </c>
      <c r="F151" s="9" t="s">
        <v>1526</v>
      </c>
      <c r="G151" s="9" t="s">
        <v>330</v>
      </c>
      <c r="H151" s="10" t="s">
        <v>123</v>
      </c>
      <c r="I151" s="10" t="s">
        <v>123</v>
      </c>
      <c r="J151" s="10"/>
      <c r="K151" s="9">
        <v>157.5</v>
      </c>
      <c r="L151" s="9" t="str">
        <f>"96,0435"</f>
        <v>96,0435</v>
      </c>
      <c r="M151" s="9" t="s">
        <v>27</v>
      </c>
    </row>
    <row r="152" spans="1:13" ht="12.75">
      <c r="A152" s="9" t="s">
        <v>1073</v>
      </c>
      <c r="B152" s="9" t="s">
        <v>1074</v>
      </c>
      <c r="C152" s="9" t="s">
        <v>119</v>
      </c>
      <c r="D152" s="9" t="str">
        <f>"0,6191"</f>
        <v>0,6191</v>
      </c>
      <c r="E152" s="9" t="s">
        <v>16</v>
      </c>
      <c r="F152" s="9" t="s">
        <v>424</v>
      </c>
      <c r="G152" s="9" t="s">
        <v>25</v>
      </c>
      <c r="H152" s="9" t="s">
        <v>33</v>
      </c>
      <c r="I152" s="10" t="s">
        <v>38</v>
      </c>
      <c r="J152" s="10"/>
      <c r="K152" s="9">
        <v>140</v>
      </c>
      <c r="L152" s="9" t="str">
        <f>"86,6740"</f>
        <v>86,6740</v>
      </c>
      <c r="M152" s="9" t="s">
        <v>1566</v>
      </c>
    </row>
    <row r="153" spans="1:13" ht="12.75">
      <c r="A153" s="9" t="s">
        <v>1075</v>
      </c>
      <c r="B153" s="9" t="s">
        <v>1076</v>
      </c>
      <c r="C153" s="9" t="s">
        <v>760</v>
      </c>
      <c r="D153" s="9" t="str">
        <f>"0,6103"</f>
        <v>0,6103</v>
      </c>
      <c r="E153" s="9" t="s">
        <v>1485</v>
      </c>
      <c r="F153" s="9" t="s">
        <v>1531</v>
      </c>
      <c r="G153" s="10" t="s">
        <v>123</v>
      </c>
      <c r="H153" s="10" t="s">
        <v>123</v>
      </c>
      <c r="I153" s="10" t="s">
        <v>123</v>
      </c>
      <c r="J153" s="10"/>
      <c r="K153" s="9">
        <v>0</v>
      </c>
      <c r="L153" s="9" t="str">
        <f>"0,0000"</f>
        <v>0,0000</v>
      </c>
      <c r="M153" s="9" t="s">
        <v>27</v>
      </c>
    </row>
    <row r="154" spans="1:13" ht="12.75">
      <c r="A154" s="9" t="s">
        <v>1077</v>
      </c>
      <c r="B154" s="9" t="s">
        <v>1078</v>
      </c>
      <c r="C154" s="9" t="s">
        <v>462</v>
      </c>
      <c r="D154" s="9" t="str">
        <f>"0,6086"</f>
        <v>0,6086</v>
      </c>
      <c r="E154" s="9" t="s">
        <v>16</v>
      </c>
      <c r="F154" s="9" t="s">
        <v>1530</v>
      </c>
      <c r="G154" s="10"/>
      <c r="H154" s="10"/>
      <c r="I154" s="10"/>
      <c r="J154" s="10"/>
      <c r="K154" s="9">
        <v>0</v>
      </c>
      <c r="L154" s="9" t="str">
        <f>"0,0000"</f>
        <v>0,0000</v>
      </c>
      <c r="M154" s="9" t="s">
        <v>27</v>
      </c>
    </row>
    <row r="155" spans="1:13" ht="12.75">
      <c r="A155" s="9" t="s">
        <v>1079</v>
      </c>
      <c r="B155" s="9" t="s">
        <v>1080</v>
      </c>
      <c r="C155" s="9" t="s">
        <v>462</v>
      </c>
      <c r="D155" s="9" t="str">
        <f>"0,6086"</f>
        <v>0,6086</v>
      </c>
      <c r="E155" s="9" t="s">
        <v>16</v>
      </c>
      <c r="F155" s="9" t="s">
        <v>1081</v>
      </c>
      <c r="G155" s="9" t="s">
        <v>121</v>
      </c>
      <c r="H155" s="9" t="s">
        <v>48</v>
      </c>
      <c r="I155" s="10" t="s">
        <v>283</v>
      </c>
      <c r="J155" s="10"/>
      <c r="K155" s="9">
        <v>190</v>
      </c>
      <c r="L155" s="9" t="str">
        <f>"116,2122"</f>
        <v>116,2122</v>
      </c>
      <c r="M155" s="9" t="s">
        <v>1082</v>
      </c>
    </row>
    <row r="156" spans="1:13" ht="12.75">
      <c r="A156" s="9" t="s">
        <v>1083</v>
      </c>
      <c r="B156" s="9" t="s">
        <v>1084</v>
      </c>
      <c r="C156" s="9" t="s">
        <v>1085</v>
      </c>
      <c r="D156" s="9" t="str">
        <f>"0,6108"</f>
        <v>0,6108</v>
      </c>
      <c r="E156" s="9" t="s">
        <v>16</v>
      </c>
      <c r="F156" s="9" t="s">
        <v>431</v>
      </c>
      <c r="G156" s="9" t="s">
        <v>35</v>
      </c>
      <c r="H156" s="9" t="s">
        <v>59</v>
      </c>
      <c r="I156" s="10" t="s">
        <v>42</v>
      </c>
      <c r="J156" s="10"/>
      <c r="K156" s="9">
        <v>160</v>
      </c>
      <c r="L156" s="9" t="str">
        <f>"107,1099"</f>
        <v>107,1099</v>
      </c>
      <c r="M156" s="9" t="s">
        <v>27</v>
      </c>
    </row>
    <row r="157" spans="1:13" ht="12.75">
      <c r="A157" s="9" t="s">
        <v>1086</v>
      </c>
      <c r="B157" s="9" t="s">
        <v>1087</v>
      </c>
      <c r="C157" s="9" t="s">
        <v>129</v>
      </c>
      <c r="D157" s="9" t="str">
        <f>"0,6223"</f>
        <v>0,6223</v>
      </c>
      <c r="E157" s="9" t="s">
        <v>16</v>
      </c>
      <c r="F157" s="9" t="s">
        <v>812</v>
      </c>
      <c r="G157" s="9" t="s">
        <v>33</v>
      </c>
      <c r="H157" s="9" t="s">
        <v>38</v>
      </c>
      <c r="I157" s="10" t="s">
        <v>35</v>
      </c>
      <c r="J157" s="10"/>
      <c r="K157" s="9">
        <v>145</v>
      </c>
      <c r="L157" s="9" t="str">
        <f>"92,7600"</f>
        <v>92,7600</v>
      </c>
      <c r="M157" s="9" t="s">
        <v>1327</v>
      </c>
    </row>
    <row r="158" spans="1:13" ht="12.75">
      <c r="A158" s="9" t="s">
        <v>1088</v>
      </c>
      <c r="B158" s="9" t="s">
        <v>1089</v>
      </c>
      <c r="C158" s="9" t="s">
        <v>122</v>
      </c>
      <c r="D158" s="9" t="str">
        <f>"0,6136"</f>
        <v>0,6136</v>
      </c>
      <c r="E158" s="9" t="s">
        <v>16</v>
      </c>
      <c r="F158" s="9" t="s">
        <v>76</v>
      </c>
      <c r="G158" s="9" t="s">
        <v>59</v>
      </c>
      <c r="H158" s="9" t="s">
        <v>109</v>
      </c>
      <c r="I158" s="9" t="s">
        <v>42</v>
      </c>
      <c r="J158" s="10"/>
      <c r="K158" s="9">
        <v>170</v>
      </c>
      <c r="L158" s="9" t="str">
        <f>"125,9046"</f>
        <v>125,9046</v>
      </c>
      <c r="M158" s="9" t="s">
        <v>27</v>
      </c>
    </row>
    <row r="159" spans="1:13" ht="12.75">
      <c r="A159" s="9" t="s">
        <v>500</v>
      </c>
      <c r="B159" s="9" t="s">
        <v>501</v>
      </c>
      <c r="C159" s="9" t="s">
        <v>502</v>
      </c>
      <c r="D159" s="9" t="str">
        <f>"0,6106"</f>
        <v>0,6106</v>
      </c>
      <c r="E159" s="9" t="s">
        <v>1485</v>
      </c>
      <c r="F159" s="9" t="s">
        <v>1529</v>
      </c>
      <c r="G159" s="9" t="s">
        <v>123</v>
      </c>
      <c r="H159" s="10"/>
      <c r="I159" s="10"/>
      <c r="J159" s="10"/>
      <c r="K159" s="9">
        <v>162.5</v>
      </c>
      <c r="L159" s="9" t="str">
        <f>"117,7771"</f>
        <v>117,7771</v>
      </c>
      <c r="M159" s="9" t="s">
        <v>27</v>
      </c>
    </row>
    <row r="160" spans="1:13" ht="12.75">
      <c r="A160" s="9" t="s">
        <v>495</v>
      </c>
      <c r="B160" s="9" t="s">
        <v>496</v>
      </c>
      <c r="C160" s="9" t="s">
        <v>497</v>
      </c>
      <c r="D160" s="9" t="str">
        <f>"0,6091"</f>
        <v>0,6091</v>
      </c>
      <c r="E160" s="9" t="s">
        <v>23</v>
      </c>
      <c r="F160" s="9" t="s">
        <v>1529</v>
      </c>
      <c r="G160" s="9" t="s">
        <v>35</v>
      </c>
      <c r="H160" s="9" t="s">
        <v>36</v>
      </c>
      <c r="I160" s="10" t="s">
        <v>59</v>
      </c>
      <c r="J160" s="10"/>
      <c r="K160" s="9">
        <v>155</v>
      </c>
      <c r="L160" s="9" t="str">
        <f>"112,0653"</f>
        <v>112,0653</v>
      </c>
      <c r="M160" s="9" t="s">
        <v>289</v>
      </c>
    </row>
    <row r="161" spans="1:13" ht="12.75">
      <c r="A161" s="11" t="s">
        <v>1090</v>
      </c>
      <c r="B161" s="11" t="s">
        <v>1091</v>
      </c>
      <c r="C161" s="11" t="s">
        <v>1085</v>
      </c>
      <c r="D161" s="11" t="str">
        <f>"0,6108"</f>
        <v>0,6108</v>
      </c>
      <c r="E161" s="11" t="s">
        <v>16</v>
      </c>
      <c r="F161" s="11" t="s">
        <v>1543</v>
      </c>
      <c r="G161" s="11" t="s">
        <v>35</v>
      </c>
      <c r="H161" s="12" t="s">
        <v>36</v>
      </c>
      <c r="I161" s="12" t="s">
        <v>36</v>
      </c>
      <c r="J161" s="12"/>
      <c r="K161" s="11">
        <v>150</v>
      </c>
      <c r="L161" s="11" t="str">
        <f>"121,1216"</f>
        <v>121,1216</v>
      </c>
      <c r="M161" s="11" t="s">
        <v>27</v>
      </c>
    </row>
    <row r="163" spans="1:12" ht="15">
      <c r="A163" s="116" t="s">
        <v>136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1:13" ht="12.75">
      <c r="A164" s="7" t="s">
        <v>1092</v>
      </c>
      <c r="B164" s="7" t="s">
        <v>1093</v>
      </c>
      <c r="C164" s="7" t="s">
        <v>1094</v>
      </c>
      <c r="D164" s="23" t="str">
        <f>"0,6076"</f>
        <v>0,6076</v>
      </c>
      <c r="E164" s="7" t="s">
        <v>16</v>
      </c>
      <c r="F164" s="25" t="s">
        <v>1095</v>
      </c>
      <c r="G164" s="7" t="s">
        <v>36</v>
      </c>
      <c r="H164" s="7" t="s">
        <v>348</v>
      </c>
      <c r="I164" s="7" t="s">
        <v>99</v>
      </c>
      <c r="J164" s="8"/>
      <c r="K164" s="7">
        <v>175</v>
      </c>
      <c r="L164" s="7" t="str">
        <f>"106,3300"</f>
        <v>106,3300</v>
      </c>
      <c r="M164" s="7" t="s">
        <v>27</v>
      </c>
    </row>
    <row r="165" spans="1:13" ht="12.75">
      <c r="A165" s="9" t="s">
        <v>1096</v>
      </c>
      <c r="B165" s="9" t="s">
        <v>1097</v>
      </c>
      <c r="C165" s="9" t="s">
        <v>1098</v>
      </c>
      <c r="D165" s="21" t="str">
        <f>"0,5976"</f>
        <v>0,5976</v>
      </c>
      <c r="E165" s="9" t="s">
        <v>16</v>
      </c>
      <c r="F165" s="22" t="s">
        <v>1492</v>
      </c>
      <c r="G165" s="9" t="s">
        <v>99</v>
      </c>
      <c r="H165" s="10" t="s">
        <v>399</v>
      </c>
      <c r="I165" s="10" t="s">
        <v>399</v>
      </c>
      <c r="J165" s="10"/>
      <c r="K165" s="9">
        <v>175</v>
      </c>
      <c r="L165" s="9" t="str">
        <f>"104,5800"</f>
        <v>104,5800</v>
      </c>
      <c r="M165" s="9" t="s">
        <v>1099</v>
      </c>
    </row>
    <row r="166" spans="1:13" ht="12.75">
      <c r="A166" s="87" t="s">
        <v>3564</v>
      </c>
      <c r="B166" s="87" t="s">
        <v>3562</v>
      </c>
      <c r="C166" s="87" t="s">
        <v>3566</v>
      </c>
      <c r="D166" s="88" t="s">
        <v>3561</v>
      </c>
      <c r="E166" s="87" t="s">
        <v>16</v>
      </c>
      <c r="F166" s="87" t="s">
        <v>1492</v>
      </c>
      <c r="G166" s="94">
        <v>150</v>
      </c>
      <c r="H166" s="95">
        <v>160</v>
      </c>
      <c r="I166" s="95">
        <v>170</v>
      </c>
      <c r="J166" s="89"/>
      <c r="K166" s="97">
        <v>170</v>
      </c>
      <c r="L166" s="7" t="s">
        <v>3568</v>
      </c>
      <c r="M166" s="90" t="s">
        <v>27</v>
      </c>
    </row>
    <row r="167" spans="1:13" ht="12.75">
      <c r="A167" s="91" t="s">
        <v>3565</v>
      </c>
      <c r="B167" s="91" t="s">
        <v>3563</v>
      </c>
      <c r="C167" s="91" t="s">
        <v>1617</v>
      </c>
      <c r="D167" s="92" t="s">
        <v>2379</v>
      </c>
      <c r="E167" s="91" t="s">
        <v>16</v>
      </c>
      <c r="F167" s="91" t="s">
        <v>3567</v>
      </c>
      <c r="G167" s="99">
        <v>160</v>
      </c>
      <c r="H167" s="96">
        <v>160</v>
      </c>
      <c r="I167" s="96">
        <v>160</v>
      </c>
      <c r="J167" s="93"/>
      <c r="K167" s="98">
        <v>0</v>
      </c>
      <c r="L167" s="9" t="s">
        <v>1636</v>
      </c>
      <c r="M167" s="90" t="s">
        <v>27</v>
      </c>
    </row>
    <row r="168" spans="1:13" ht="12.75">
      <c r="A168" s="9" t="s">
        <v>1100</v>
      </c>
      <c r="B168" s="9" t="s">
        <v>1101</v>
      </c>
      <c r="C168" s="9" t="s">
        <v>1102</v>
      </c>
      <c r="D168" s="21" t="str">
        <f>"0,5996"</f>
        <v>0,5996</v>
      </c>
      <c r="E168" s="9" t="s">
        <v>16</v>
      </c>
      <c r="F168" s="22" t="s">
        <v>1541</v>
      </c>
      <c r="G168" s="9" t="s">
        <v>292</v>
      </c>
      <c r="H168" s="9" t="s">
        <v>65</v>
      </c>
      <c r="I168" s="10" t="s">
        <v>313</v>
      </c>
      <c r="J168" s="10"/>
      <c r="K168" s="9">
        <v>240</v>
      </c>
      <c r="L168" s="9" t="str">
        <f>"143,9040"</f>
        <v>143,9040</v>
      </c>
      <c r="M168" s="9" t="s">
        <v>27</v>
      </c>
    </row>
    <row r="169" spans="1:13" ht="12.75">
      <c r="A169" s="9" t="s">
        <v>1103</v>
      </c>
      <c r="B169" s="9" t="s">
        <v>1104</v>
      </c>
      <c r="C169" s="9" t="s">
        <v>1105</v>
      </c>
      <c r="D169" s="21" t="str">
        <f>"0,5968"</f>
        <v>0,5968</v>
      </c>
      <c r="E169" s="9" t="s">
        <v>16</v>
      </c>
      <c r="F169" s="22" t="s">
        <v>1507</v>
      </c>
      <c r="G169" s="9" t="s">
        <v>48</v>
      </c>
      <c r="H169" s="9" t="s">
        <v>309</v>
      </c>
      <c r="I169" s="10" t="s">
        <v>284</v>
      </c>
      <c r="J169" s="10"/>
      <c r="K169" s="9">
        <v>197.5</v>
      </c>
      <c r="L169" s="9" t="str">
        <f>"117,8680"</f>
        <v>117,8680</v>
      </c>
      <c r="M169" s="9" t="s">
        <v>27</v>
      </c>
    </row>
    <row r="170" spans="1:13" ht="12.75">
      <c r="A170" s="9" t="s">
        <v>1106</v>
      </c>
      <c r="B170" s="9" t="s">
        <v>1107</v>
      </c>
      <c r="C170" s="9" t="s">
        <v>528</v>
      </c>
      <c r="D170" s="21" t="str">
        <f>"0,5966"</f>
        <v>0,5966</v>
      </c>
      <c r="E170" s="9" t="s">
        <v>16</v>
      </c>
      <c r="F170" s="22" t="s">
        <v>1492</v>
      </c>
      <c r="G170" s="9" t="s">
        <v>48</v>
      </c>
      <c r="H170" s="10" t="s">
        <v>44</v>
      </c>
      <c r="I170" s="10" t="s">
        <v>44</v>
      </c>
      <c r="J170" s="10"/>
      <c r="K170" s="9">
        <v>190</v>
      </c>
      <c r="L170" s="9" t="str">
        <f>"113,3540"</f>
        <v>113,3540</v>
      </c>
      <c r="M170" s="9" t="s">
        <v>27</v>
      </c>
    </row>
    <row r="171" spans="1:13" ht="12.75">
      <c r="A171" s="9" t="s">
        <v>1108</v>
      </c>
      <c r="B171" s="9" t="s">
        <v>1002</v>
      </c>
      <c r="C171" s="9" t="s">
        <v>1109</v>
      </c>
      <c r="D171" s="21" t="str">
        <f>"0,5946"</f>
        <v>0,5946</v>
      </c>
      <c r="E171" s="9" t="s">
        <v>16</v>
      </c>
      <c r="F171" s="22" t="s">
        <v>1110</v>
      </c>
      <c r="G171" s="9" t="s">
        <v>48</v>
      </c>
      <c r="H171" s="10" t="s">
        <v>44</v>
      </c>
      <c r="I171" s="10" t="s">
        <v>49</v>
      </c>
      <c r="J171" s="10"/>
      <c r="K171" s="9">
        <v>190</v>
      </c>
      <c r="L171" s="9" t="str">
        <f>"112,9740"</f>
        <v>112,9740</v>
      </c>
      <c r="M171" s="9" t="s">
        <v>27</v>
      </c>
    </row>
    <row r="172" spans="1:13" ht="12.75">
      <c r="A172" s="9" t="s">
        <v>1111</v>
      </c>
      <c r="B172" s="9" t="s">
        <v>1112</v>
      </c>
      <c r="C172" s="9" t="s">
        <v>512</v>
      </c>
      <c r="D172" s="21" t="str">
        <f>"0,5941"</f>
        <v>0,5941</v>
      </c>
      <c r="E172" s="9" t="s">
        <v>16</v>
      </c>
      <c r="F172" s="22" t="s">
        <v>889</v>
      </c>
      <c r="G172" s="9" t="s">
        <v>121</v>
      </c>
      <c r="H172" s="10" t="s">
        <v>342</v>
      </c>
      <c r="I172" s="10" t="s">
        <v>342</v>
      </c>
      <c r="J172" s="10"/>
      <c r="K172" s="9">
        <v>185</v>
      </c>
      <c r="L172" s="9" t="str">
        <f>"109,9085"</f>
        <v>109,9085</v>
      </c>
      <c r="M172" s="9" t="s">
        <v>27</v>
      </c>
    </row>
    <row r="173" spans="1:13" ht="12.75">
      <c r="A173" s="9" t="s">
        <v>1114</v>
      </c>
      <c r="B173" s="9" t="s">
        <v>1115</v>
      </c>
      <c r="C173" s="9" t="s">
        <v>137</v>
      </c>
      <c r="D173" s="21" t="str">
        <f>"0,5885"</f>
        <v>0,5885</v>
      </c>
      <c r="E173" s="9" t="s">
        <v>16</v>
      </c>
      <c r="F173" s="22" t="s">
        <v>1492</v>
      </c>
      <c r="G173" s="9" t="s">
        <v>43</v>
      </c>
      <c r="H173" s="10" t="s">
        <v>48</v>
      </c>
      <c r="I173" s="10" t="s">
        <v>48</v>
      </c>
      <c r="J173" s="10"/>
      <c r="K173" s="9">
        <v>180</v>
      </c>
      <c r="L173" s="9" t="str">
        <f>"105,9300"</f>
        <v>105,9300</v>
      </c>
      <c r="M173" s="9" t="s">
        <v>27</v>
      </c>
    </row>
    <row r="174" spans="1:13" ht="12.75">
      <c r="A174" s="9" t="s">
        <v>1116</v>
      </c>
      <c r="B174" s="9" t="s">
        <v>1117</v>
      </c>
      <c r="C174" s="9" t="s">
        <v>1118</v>
      </c>
      <c r="D174" s="21" t="str">
        <f>"0,6004"</f>
        <v>0,6004</v>
      </c>
      <c r="E174" s="9" t="s">
        <v>16</v>
      </c>
      <c r="F174" s="22" t="s">
        <v>1492</v>
      </c>
      <c r="G174" s="9" t="s">
        <v>109</v>
      </c>
      <c r="H174" s="9" t="s">
        <v>42</v>
      </c>
      <c r="I174" s="10" t="s">
        <v>99</v>
      </c>
      <c r="J174" s="10"/>
      <c r="K174" s="9">
        <v>170</v>
      </c>
      <c r="L174" s="9" t="str">
        <f>"102,0680"</f>
        <v>102,0680</v>
      </c>
      <c r="M174" s="9" t="s">
        <v>27</v>
      </c>
    </row>
    <row r="175" spans="1:13" ht="12.75">
      <c r="A175" s="9" t="s">
        <v>1119</v>
      </c>
      <c r="B175" s="9" t="s">
        <v>1120</v>
      </c>
      <c r="C175" s="9" t="s">
        <v>1121</v>
      </c>
      <c r="D175" s="21" t="str">
        <f>"0,5905"</f>
        <v>0,5905</v>
      </c>
      <c r="E175" s="9" t="s">
        <v>16</v>
      </c>
      <c r="F175" s="22" t="s">
        <v>1492</v>
      </c>
      <c r="G175" s="9" t="s">
        <v>189</v>
      </c>
      <c r="H175" s="9" t="s">
        <v>348</v>
      </c>
      <c r="I175" s="10" t="s">
        <v>42</v>
      </c>
      <c r="J175" s="10"/>
      <c r="K175" s="9">
        <v>167.5</v>
      </c>
      <c r="L175" s="9" t="str">
        <f>"98,9087"</f>
        <v>98,9087</v>
      </c>
      <c r="M175" s="9" t="s">
        <v>1122</v>
      </c>
    </row>
    <row r="176" spans="1:13" ht="12.75">
      <c r="A176" s="9" t="s">
        <v>1123</v>
      </c>
      <c r="B176" s="9" t="s">
        <v>1124</v>
      </c>
      <c r="C176" s="9" t="s">
        <v>1125</v>
      </c>
      <c r="D176" s="21" t="str">
        <f>"0,5992"</f>
        <v>0,5992</v>
      </c>
      <c r="E176" s="9" t="s">
        <v>16</v>
      </c>
      <c r="F176" s="22" t="s">
        <v>91</v>
      </c>
      <c r="G176" s="9" t="s">
        <v>189</v>
      </c>
      <c r="H176" s="10" t="s">
        <v>36</v>
      </c>
      <c r="I176" s="9" t="s">
        <v>36</v>
      </c>
      <c r="J176" s="10"/>
      <c r="K176" s="9">
        <v>155</v>
      </c>
      <c r="L176" s="9" t="str">
        <f>"92,8760"</f>
        <v>92,8760</v>
      </c>
      <c r="M176" s="9" t="s">
        <v>27</v>
      </c>
    </row>
    <row r="177" spans="1:13" ht="12.75">
      <c r="A177" s="9" t="s">
        <v>526</v>
      </c>
      <c r="B177" s="9" t="s">
        <v>527</v>
      </c>
      <c r="C177" s="9" t="s">
        <v>528</v>
      </c>
      <c r="D177" s="21" t="str">
        <f>"0,5966"</f>
        <v>0,5966</v>
      </c>
      <c r="E177" s="9" t="s">
        <v>16</v>
      </c>
      <c r="F177" s="22" t="s">
        <v>529</v>
      </c>
      <c r="G177" s="9" t="s">
        <v>36</v>
      </c>
      <c r="H177" s="10"/>
      <c r="I177" s="10"/>
      <c r="J177" s="10"/>
      <c r="K177" s="9">
        <v>155</v>
      </c>
      <c r="L177" s="9" t="str">
        <f>"92,4730"</f>
        <v>92,4730</v>
      </c>
      <c r="M177" s="9" t="s">
        <v>27</v>
      </c>
    </row>
    <row r="178" spans="1:13" ht="12.75">
      <c r="A178" s="9" t="s">
        <v>1126</v>
      </c>
      <c r="B178" s="9" t="s">
        <v>238</v>
      </c>
      <c r="C178" s="9" t="s">
        <v>1127</v>
      </c>
      <c r="D178" s="21" t="str">
        <f>"0,5923"</f>
        <v>0,5923</v>
      </c>
      <c r="E178" s="9" t="s">
        <v>16</v>
      </c>
      <c r="F178" s="22" t="s">
        <v>850</v>
      </c>
      <c r="G178" s="9" t="s">
        <v>35</v>
      </c>
      <c r="H178" s="10" t="s">
        <v>59</v>
      </c>
      <c r="I178" s="10" t="s">
        <v>348</v>
      </c>
      <c r="J178" s="10"/>
      <c r="K178" s="9">
        <v>150</v>
      </c>
      <c r="L178" s="9" t="str">
        <f>"88,8450"</f>
        <v>88,8450</v>
      </c>
      <c r="M178" s="9" t="s">
        <v>1128</v>
      </c>
    </row>
    <row r="179" spans="1:13" ht="12.75">
      <c r="A179" s="9" t="s">
        <v>1129</v>
      </c>
      <c r="B179" s="9" t="s">
        <v>1130</v>
      </c>
      <c r="C179" s="9" t="s">
        <v>1131</v>
      </c>
      <c r="D179" s="21" t="str">
        <f>"0,5933"</f>
        <v>0,5933</v>
      </c>
      <c r="E179" s="9" t="s">
        <v>16</v>
      </c>
      <c r="F179" s="22" t="s">
        <v>975</v>
      </c>
      <c r="G179" s="10" t="s">
        <v>59</v>
      </c>
      <c r="H179" s="10" t="s">
        <v>59</v>
      </c>
      <c r="I179" s="10" t="s">
        <v>59</v>
      </c>
      <c r="J179" s="10"/>
      <c r="K179" s="9">
        <v>0</v>
      </c>
      <c r="L179" s="9" t="str">
        <f>"0,0000"</f>
        <v>0,0000</v>
      </c>
      <c r="M179" s="9" t="s">
        <v>27</v>
      </c>
    </row>
    <row r="180" spans="1:13" ht="12.75">
      <c r="A180" s="9" t="s">
        <v>1132</v>
      </c>
      <c r="B180" s="9" t="s">
        <v>1133</v>
      </c>
      <c r="C180" s="9" t="s">
        <v>1134</v>
      </c>
      <c r="D180" s="21" t="str">
        <f>"0,5974"</f>
        <v>0,5974</v>
      </c>
      <c r="E180" s="9" t="s">
        <v>16</v>
      </c>
      <c r="F180" s="22" t="s">
        <v>1492</v>
      </c>
      <c r="G180" s="9" t="s">
        <v>342</v>
      </c>
      <c r="H180" s="9" t="s">
        <v>309</v>
      </c>
      <c r="I180" s="10" t="s">
        <v>49</v>
      </c>
      <c r="J180" s="10"/>
      <c r="K180" s="9">
        <v>197.5</v>
      </c>
      <c r="L180" s="9" t="str">
        <f>"119,6383"</f>
        <v>119,6383</v>
      </c>
      <c r="M180" s="9" t="s">
        <v>27</v>
      </c>
    </row>
    <row r="181" spans="1:13" ht="12.75">
      <c r="A181" s="9" t="s">
        <v>1135</v>
      </c>
      <c r="B181" s="9" t="s">
        <v>1136</v>
      </c>
      <c r="C181" s="9" t="s">
        <v>528</v>
      </c>
      <c r="D181" s="21" t="str">
        <f>"0,5966"</f>
        <v>0,5966</v>
      </c>
      <c r="E181" s="9" t="s">
        <v>16</v>
      </c>
      <c r="F181" s="22" t="s">
        <v>87</v>
      </c>
      <c r="G181" s="10" t="s">
        <v>109</v>
      </c>
      <c r="H181" s="9" t="s">
        <v>109</v>
      </c>
      <c r="I181" s="10" t="s">
        <v>348</v>
      </c>
      <c r="J181" s="10"/>
      <c r="K181" s="9">
        <v>165</v>
      </c>
      <c r="L181" s="9" t="str">
        <f>"107,8891"</f>
        <v>107,8891</v>
      </c>
      <c r="M181" s="9" t="s">
        <v>27</v>
      </c>
    </row>
    <row r="182" spans="1:13" ht="12.75">
      <c r="A182" s="9" t="s">
        <v>1137</v>
      </c>
      <c r="B182" s="9" t="s">
        <v>1138</v>
      </c>
      <c r="C182" s="9" t="s">
        <v>1139</v>
      </c>
      <c r="D182" s="21" t="str">
        <f>"0,5919"</f>
        <v>0,5919</v>
      </c>
      <c r="E182" s="9" t="s">
        <v>16</v>
      </c>
      <c r="F182" s="22" t="s">
        <v>1140</v>
      </c>
      <c r="G182" s="9" t="s">
        <v>59</v>
      </c>
      <c r="H182" s="10" t="s">
        <v>109</v>
      </c>
      <c r="I182" s="10" t="s">
        <v>42</v>
      </c>
      <c r="J182" s="10"/>
      <c r="K182" s="9">
        <v>160</v>
      </c>
      <c r="L182" s="9" t="str">
        <f>"103,7956"</f>
        <v>103,7956</v>
      </c>
      <c r="M182" s="9" t="s">
        <v>1113</v>
      </c>
    </row>
    <row r="183" spans="1:13" ht="12.75">
      <c r="A183" s="9" t="s">
        <v>1141</v>
      </c>
      <c r="B183" s="9" t="s">
        <v>1142</v>
      </c>
      <c r="C183" s="9" t="s">
        <v>1143</v>
      </c>
      <c r="D183" s="21" t="str">
        <f>"0,5939"</f>
        <v>0,5939</v>
      </c>
      <c r="E183" s="9" t="s">
        <v>16</v>
      </c>
      <c r="F183" s="22" t="s">
        <v>1144</v>
      </c>
      <c r="G183" s="9" t="s">
        <v>35</v>
      </c>
      <c r="H183" s="10" t="s">
        <v>36</v>
      </c>
      <c r="I183" s="9" t="s">
        <v>36</v>
      </c>
      <c r="J183" s="10"/>
      <c r="K183" s="9">
        <v>155</v>
      </c>
      <c r="L183" s="9" t="str">
        <f>"94,6320"</f>
        <v>94,6320</v>
      </c>
      <c r="M183" s="9" t="s">
        <v>27</v>
      </c>
    </row>
    <row r="184" spans="1:13" ht="12.75">
      <c r="A184" s="9" t="s">
        <v>1145</v>
      </c>
      <c r="B184" s="9" t="s">
        <v>1146</v>
      </c>
      <c r="C184" s="9" t="s">
        <v>1147</v>
      </c>
      <c r="D184" s="21" t="str">
        <f>"0,5900"</f>
        <v>0,5900</v>
      </c>
      <c r="E184" s="9" t="s">
        <v>16</v>
      </c>
      <c r="F184" s="22" t="s">
        <v>1492</v>
      </c>
      <c r="G184" s="9" t="s">
        <v>33</v>
      </c>
      <c r="H184" s="9" t="s">
        <v>189</v>
      </c>
      <c r="I184" s="9" t="s">
        <v>410</v>
      </c>
      <c r="J184" s="10"/>
      <c r="K184" s="9">
        <v>152.5</v>
      </c>
      <c r="L184" s="9" t="str">
        <f>"110,4893"</f>
        <v>110,4893</v>
      </c>
      <c r="M184" s="9" t="s">
        <v>27</v>
      </c>
    </row>
    <row r="185" spans="1:13" ht="12.75">
      <c r="A185" s="9" t="s">
        <v>538</v>
      </c>
      <c r="B185" s="9" t="s">
        <v>539</v>
      </c>
      <c r="C185" s="9" t="s">
        <v>540</v>
      </c>
      <c r="D185" s="21" t="str">
        <f>"0,5897"</f>
        <v>0,5897</v>
      </c>
      <c r="E185" s="9" t="s">
        <v>16</v>
      </c>
      <c r="F185" s="22" t="s">
        <v>541</v>
      </c>
      <c r="G185" s="9" t="s">
        <v>110</v>
      </c>
      <c r="H185" s="9" t="s">
        <v>24</v>
      </c>
      <c r="I185" s="9" t="s">
        <v>216</v>
      </c>
      <c r="J185" s="10"/>
      <c r="K185" s="9">
        <v>127.5</v>
      </c>
      <c r="L185" s="9" t="str">
        <f>"92,3293"</f>
        <v>92,3293</v>
      </c>
      <c r="M185" s="9" t="s">
        <v>1148</v>
      </c>
    </row>
    <row r="186" spans="1:13" ht="12.75">
      <c r="A186" s="9" t="s">
        <v>1149</v>
      </c>
      <c r="B186" s="9" t="s">
        <v>1150</v>
      </c>
      <c r="C186" s="9" t="s">
        <v>1151</v>
      </c>
      <c r="D186" s="21" t="str">
        <f>"0,6041"</f>
        <v>0,6041</v>
      </c>
      <c r="E186" s="9" t="s">
        <v>23</v>
      </c>
      <c r="F186" s="22" t="s">
        <v>1529</v>
      </c>
      <c r="G186" s="10" t="s">
        <v>25</v>
      </c>
      <c r="H186" s="9" t="s">
        <v>58</v>
      </c>
      <c r="I186" s="9" t="s">
        <v>33</v>
      </c>
      <c r="J186" s="10"/>
      <c r="K186" s="9">
        <v>140</v>
      </c>
      <c r="L186" s="9" t="str">
        <f>"116,7121"</f>
        <v>116,7121</v>
      </c>
      <c r="M186" s="9" t="s">
        <v>289</v>
      </c>
    </row>
    <row r="187" spans="1:13" ht="12.75">
      <c r="A187" s="11" t="s">
        <v>1152</v>
      </c>
      <c r="B187" s="11" t="s">
        <v>1153</v>
      </c>
      <c r="C187" s="11" t="s">
        <v>1154</v>
      </c>
      <c r="D187" s="24" t="str">
        <f>"0,6006"</f>
        <v>0,6006</v>
      </c>
      <c r="E187" s="11" t="s">
        <v>16</v>
      </c>
      <c r="F187" s="26" t="s">
        <v>1492</v>
      </c>
      <c r="G187" s="11" t="s">
        <v>30</v>
      </c>
      <c r="H187" s="11" t="s">
        <v>25</v>
      </c>
      <c r="I187" s="11" t="s">
        <v>254</v>
      </c>
      <c r="J187" s="12"/>
      <c r="K187" s="11">
        <v>132.5</v>
      </c>
      <c r="L187" s="11" t="str">
        <f>"109,8197"</f>
        <v>109,8197</v>
      </c>
      <c r="M187" s="11" t="s">
        <v>27</v>
      </c>
    </row>
    <row r="189" spans="1:12" ht="15">
      <c r="A189" s="116" t="s">
        <v>138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1:13" ht="12.75">
      <c r="A190" s="7" t="s">
        <v>542</v>
      </c>
      <c r="B190" s="7" t="s">
        <v>543</v>
      </c>
      <c r="C190" s="7" t="s">
        <v>544</v>
      </c>
      <c r="D190" s="7" t="str">
        <f>"0,5785"</f>
        <v>0,5785</v>
      </c>
      <c r="E190" s="7" t="s">
        <v>1489</v>
      </c>
      <c r="F190" s="7" t="s">
        <v>1508</v>
      </c>
      <c r="G190" s="7" t="s">
        <v>33</v>
      </c>
      <c r="H190" s="8"/>
      <c r="I190" s="8"/>
      <c r="J190" s="8"/>
      <c r="K190" s="7">
        <v>140</v>
      </c>
      <c r="L190" s="7" t="str">
        <f>"80,9900"</f>
        <v>80,9900</v>
      </c>
      <c r="M190" s="7" t="s">
        <v>545</v>
      </c>
    </row>
    <row r="191" spans="1:13" ht="12.75">
      <c r="A191" s="9" t="s">
        <v>1155</v>
      </c>
      <c r="B191" s="9" t="s">
        <v>1156</v>
      </c>
      <c r="C191" s="9" t="s">
        <v>1157</v>
      </c>
      <c r="D191" s="9" t="str">
        <f>"0,5738"</f>
        <v>0,5738</v>
      </c>
      <c r="E191" s="9" t="s">
        <v>16</v>
      </c>
      <c r="F191" s="9" t="s">
        <v>364</v>
      </c>
      <c r="G191" s="9" t="s">
        <v>352</v>
      </c>
      <c r="H191" s="9" t="s">
        <v>68</v>
      </c>
      <c r="I191" s="10" t="s">
        <v>468</v>
      </c>
      <c r="J191" s="10"/>
      <c r="K191" s="9">
        <v>235</v>
      </c>
      <c r="L191" s="9" t="str">
        <f>"134,8430"</f>
        <v>134,8430</v>
      </c>
      <c r="M191" s="9" t="s">
        <v>1567</v>
      </c>
    </row>
    <row r="192" spans="1:13" ht="12.75">
      <c r="A192" s="9" t="s">
        <v>1158</v>
      </c>
      <c r="B192" s="9" t="s">
        <v>1159</v>
      </c>
      <c r="C192" s="9" t="s">
        <v>1160</v>
      </c>
      <c r="D192" s="9" t="str">
        <f>"0,5772"</f>
        <v>0,5772</v>
      </c>
      <c r="E192" s="9" t="s">
        <v>16</v>
      </c>
      <c r="F192" s="9" t="s">
        <v>199</v>
      </c>
      <c r="G192" s="9" t="s">
        <v>399</v>
      </c>
      <c r="H192" s="9" t="s">
        <v>121</v>
      </c>
      <c r="I192" s="10" t="s">
        <v>48</v>
      </c>
      <c r="J192" s="10"/>
      <c r="K192" s="9">
        <v>185</v>
      </c>
      <c r="L192" s="9" t="str">
        <f>"106,7820"</f>
        <v>106,7820</v>
      </c>
      <c r="M192" s="9" t="s">
        <v>1161</v>
      </c>
    </row>
    <row r="193" spans="1:13" ht="12.75">
      <c r="A193" s="9" t="s">
        <v>1162</v>
      </c>
      <c r="B193" s="9" t="s">
        <v>1163</v>
      </c>
      <c r="C193" s="9" t="s">
        <v>1164</v>
      </c>
      <c r="D193" s="9" t="str">
        <f>"0,5769"</f>
        <v>0,5769</v>
      </c>
      <c r="E193" s="9" t="s">
        <v>16</v>
      </c>
      <c r="F193" s="9" t="s">
        <v>1165</v>
      </c>
      <c r="G193" s="9" t="s">
        <v>121</v>
      </c>
      <c r="H193" s="10" t="s">
        <v>283</v>
      </c>
      <c r="I193" s="10" t="s">
        <v>283</v>
      </c>
      <c r="J193" s="10"/>
      <c r="K193" s="9">
        <v>185</v>
      </c>
      <c r="L193" s="9" t="str">
        <f>"106,7265"</f>
        <v>106,7265</v>
      </c>
      <c r="M193" s="9" t="s">
        <v>27</v>
      </c>
    </row>
    <row r="194" spans="1:13" ht="12.75">
      <c r="A194" s="9" t="s">
        <v>1166</v>
      </c>
      <c r="B194" s="9" t="s">
        <v>1167</v>
      </c>
      <c r="C194" s="9" t="s">
        <v>1168</v>
      </c>
      <c r="D194" s="9" t="str">
        <f>"0,5847"</f>
        <v>0,5847</v>
      </c>
      <c r="E194" s="9" t="s">
        <v>23</v>
      </c>
      <c r="F194" s="9" t="s">
        <v>1529</v>
      </c>
      <c r="G194" s="10" t="s">
        <v>99</v>
      </c>
      <c r="H194" s="9" t="s">
        <v>43</v>
      </c>
      <c r="I194" s="10" t="s">
        <v>121</v>
      </c>
      <c r="J194" s="10"/>
      <c r="K194" s="9">
        <v>180</v>
      </c>
      <c r="L194" s="9" t="str">
        <f>"105,2460"</f>
        <v>105,2460</v>
      </c>
      <c r="M194" s="9" t="s">
        <v>1568</v>
      </c>
    </row>
    <row r="195" spans="1:13" ht="12.75">
      <c r="A195" s="9" t="s">
        <v>1169</v>
      </c>
      <c r="B195" s="9" t="s">
        <v>1170</v>
      </c>
      <c r="C195" s="9" t="s">
        <v>1171</v>
      </c>
      <c r="D195" s="9" t="str">
        <f>"0,5757"</f>
        <v>0,5757</v>
      </c>
      <c r="E195" s="9" t="s">
        <v>16</v>
      </c>
      <c r="F195" s="9" t="s">
        <v>1172</v>
      </c>
      <c r="G195" s="9" t="s">
        <v>42</v>
      </c>
      <c r="H195" s="10" t="s">
        <v>399</v>
      </c>
      <c r="I195" s="10" t="s">
        <v>399</v>
      </c>
      <c r="J195" s="10"/>
      <c r="K195" s="9">
        <v>170</v>
      </c>
      <c r="L195" s="9" t="str">
        <f>"97,8690"</f>
        <v>97,8690</v>
      </c>
      <c r="M195" s="9" t="s">
        <v>27</v>
      </c>
    </row>
    <row r="196" spans="1:13" ht="12.75">
      <c r="A196" s="9" t="s">
        <v>568</v>
      </c>
      <c r="B196" s="9" t="s">
        <v>569</v>
      </c>
      <c r="C196" s="9" t="s">
        <v>570</v>
      </c>
      <c r="D196" s="9" t="str">
        <f>"0,5831"</f>
        <v>0,5831</v>
      </c>
      <c r="E196" s="9" t="s">
        <v>16</v>
      </c>
      <c r="F196" s="9" t="s">
        <v>571</v>
      </c>
      <c r="G196" s="9" t="s">
        <v>56</v>
      </c>
      <c r="H196" s="10"/>
      <c r="I196" s="10"/>
      <c r="J196" s="10"/>
      <c r="K196" s="9">
        <v>210</v>
      </c>
      <c r="L196" s="9" t="str">
        <f>"122,4510"</f>
        <v>122,4510</v>
      </c>
      <c r="M196" s="9" t="s">
        <v>27</v>
      </c>
    </row>
    <row r="197" spans="1:13" ht="12.75">
      <c r="A197" s="9" t="s">
        <v>1158</v>
      </c>
      <c r="B197" s="9" t="s">
        <v>1173</v>
      </c>
      <c r="C197" s="9" t="s">
        <v>1160</v>
      </c>
      <c r="D197" s="9" t="str">
        <f>"0,5772"</f>
        <v>0,5772</v>
      </c>
      <c r="E197" s="9" t="s">
        <v>16</v>
      </c>
      <c r="F197" s="9" t="s">
        <v>199</v>
      </c>
      <c r="G197" s="9" t="s">
        <v>399</v>
      </c>
      <c r="H197" s="9" t="s">
        <v>121</v>
      </c>
      <c r="I197" s="10" t="s">
        <v>48</v>
      </c>
      <c r="J197" s="10"/>
      <c r="K197" s="9">
        <v>185</v>
      </c>
      <c r="L197" s="9" t="str">
        <f>"111,4804"</f>
        <v>111,4804</v>
      </c>
      <c r="M197" s="9" t="s">
        <v>1161</v>
      </c>
    </row>
    <row r="198" spans="1:13" ht="12.75">
      <c r="A198" s="9" t="s">
        <v>1174</v>
      </c>
      <c r="B198" s="9" t="s">
        <v>1175</v>
      </c>
      <c r="C198" s="9" t="s">
        <v>1176</v>
      </c>
      <c r="D198" s="9" t="str">
        <f>"0,5841"</f>
        <v>0,5841</v>
      </c>
      <c r="E198" s="9" t="s">
        <v>16</v>
      </c>
      <c r="F198" s="9" t="s">
        <v>1140</v>
      </c>
      <c r="G198" s="9" t="s">
        <v>99</v>
      </c>
      <c r="H198" s="10" t="s">
        <v>537</v>
      </c>
      <c r="I198" s="10" t="s">
        <v>537</v>
      </c>
      <c r="J198" s="10"/>
      <c r="K198" s="9">
        <v>175</v>
      </c>
      <c r="L198" s="9" t="str">
        <f>"117,5501"</f>
        <v>117,5501</v>
      </c>
      <c r="M198" s="9" t="s">
        <v>1569</v>
      </c>
    </row>
    <row r="199" spans="1:13" ht="12.75">
      <c r="A199" s="11" t="s">
        <v>1177</v>
      </c>
      <c r="B199" s="11" t="s">
        <v>1178</v>
      </c>
      <c r="C199" s="11" t="s">
        <v>558</v>
      </c>
      <c r="D199" s="11" t="str">
        <f>"0,5744"</f>
        <v>0,5744</v>
      </c>
      <c r="E199" s="11" t="s">
        <v>16</v>
      </c>
      <c r="F199" s="11" t="s">
        <v>1526</v>
      </c>
      <c r="G199" s="11" t="s">
        <v>109</v>
      </c>
      <c r="H199" s="12" t="s">
        <v>301</v>
      </c>
      <c r="I199" s="12" t="s">
        <v>99</v>
      </c>
      <c r="J199" s="12"/>
      <c r="K199" s="11">
        <v>165</v>
      </c>
      <c r="L199" s="11" t="str">
        <f>"112,4991"</f>
        <v>112,4991</v>
      </c>
      <c r="M199" s="11" t="s">
        <v>27</v>
      </c>
    </row>
    <row r="201" spans="1:12" ht="15">
      <c r="A201" s="116" t="s">
        <v>576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1:13" ht="12.75">
      <c r="A202" s="7" t="s">
        <v>1179</v>
      </c>
      <c r="B202" s="7" t="s">
        <v>1180</v>
      </c>
      <c r="C202" s="7" t="s">
        <v>1181</v>
      </c>
      <c r="D202" s="7" t="str">
        <f>"0,5646"</f>
        <v>0,5646</v>
      </c>
      <c r="E202" s="7" t="s">
        <v>16</v>
      </c>
      <c r="F202" s="7" t="s">
        <v>91</v>
      </c>
      <c r="G202" s="8" t="s">
        <v>48</v>
      </c>
      <c r="H202" s="7" t="s">
        <v>48</v>
      </c>
      <c r="I202" s="8" t="s">
        <v>44</v>
      </c>
      <c r="J202" s="8"/>
      <c r="K202" s="7">
        <v>190</v>
      </c>
      <c r="L202" s="7" t="str">
        <f>"107,2740"</f>
        <v>107,2740</v>
      </c>
      <c r="M202" s="7" t="s">
        <v>27</v>
      </c>
    </row>
    <row r="203" spans="1:13" ht="12.75">
      <c r="A203" s="9" t="s">
        <v>1182</v>
      </c>
      <c r="B203" s="9" t="s">
        <v>931</v>
      </c>
      <c r="C203" s="9" t="s">
        <v>1183</v>
      </c>
      <c r="D203" s="9" t="str">
        <f>"0,5669"</f>
        <v>0,5669</v>
      </c>
      <c r="E203" s="9" t="s">
        <v>16</v>
      </c>
      <c r="F203" s="9" t="s">
        <v>1526</v>
      </c>
      <c r="G203" s="9" t="s">
        <v>56</v>
      </c>
      <c r="H203" s="9" t="s">
        <v>113</v>
      </c>
      <c r="I203" s="10" t="s">
        <v>292</v>
      </c>
      <c r="J203" s="10"/>
      <c r="K203" s="9">
        <v>225</v>
      </c>
      <c r="L203" s="9" t="str">
        <f>"127,5525"</f>
        <v>127,5525</v>
      </c>
      <c r="M203" s="9" t="s">
        <v>27</v>
      </c>
    </row>
    <row r="204" spans="1:13" ht="12.75">
      <c r="A204" s="9" t="s">
        <v>1184</v>
      </c>
      <c r="B204" s="9" t="s">
        <v>1185</v>
      </c>
      <c r="C204" s="9" t="s">
        <v>1186</v>
      </c>
      <c r="D204" s="9" t="str">
        <f>"0,5692"</f>
        <v>0,5692</v>
      </c>
      <c r="E204" s="9" t="s">
        <v>16</v>
      </c>
      <c r="F204" s="9" t="s">
        <v>1528</v>
      </c>
      <c r="G204" s="9" t="s">
        <v>48</v>
      </c>
      <c r="H204" s="9" t="s">
        <v>44</v>
      </c>
      <c r="I204" s="9" t="s">
        <v>49</v>
      </c>
      <c r="J204" s="10"/>
      <c r="K204" s="9">
        <v>205</v>
      </c>
      <c r="L204" s="9" t="str">
        <f>"116,6860"</f>
        <v>116,6860</v>
      </c>
      <c r="M204" s="9" t="s">
        <v>27</v>
      </c>
    </row>
    <row r="205" spans="1:13" ht="12.75">
      <c r="A205" s="9" t="s">
        <v>1187</v>
      </c>
      <c r="B205" s="9" t="s">
        <v>1188</v>
      </c>
      <c r="C205" s="9" t="s">
        <v>1189</v>
      </c>
      <c r="D205" s="9" t="str">
        <f>"0,5661"</f>
        <v>0,5661</v>
      </c>
      <c r="E205" s="9" t="s">
        <v>16</v>
      </c>
      <c r="F205" s="9" t="s">
        <v>278</v>
      </c>
      <c r="G205" s="9" t="s">
        <v>59</v>
      </c>
      <c r="H205" s="9" t="s">
        <v>348</v>
      </c>
      <c r="I205" s="9" t="s">
        <v>301</v>
      </c>
      <c r="J205" s="10"/>
      <c r="K205" s="9">
        <v>172.5</v>
      </c>
      <c r="L205" s="9" t="str">
        <f>"105,2691"</f>
        <v>105,2691</v>
      </c>
      <c r="M205" s="9" t="s">
        <v>27</v>
      </c>
    </row>
    <row r="206" spans="1:13" ht="12.75">
      <c r="A206" s="11" t="s">
        <v>1184</v>
      </c>
      <c r="B206" s="11" t="s">
        <v>1190</v>
      </c>
      <c r="C206" s="11" t="s">
        <v>1186</v>
      </c>
      <c r="D206" s="11" t="str">
        <f>"0,5692"</f>
        <v>0,5692</v>
      </c>
      <c r="E206" s="11" t="s">
        <v>16</v>
      </c>
      <c r="F206" s="11" t="s">
        <v>1527</v>
      </c>
      <c r="G206" s="11" t="s">
        <v>48</v>
      </c>
      <c r="H206" s="11" t="s">
        <v>44</v>
      </c>
      <c r="I206" s="11" t="s">
        <v>49</v>
      </c>
      <c r="J206" s="12"/>
      <c r="K206" s="11">
        <v>205</v>
      </c>
      <c r="L206" s="11" t="str">
        <f>"136,2892"</f>
        <v>136,2892</v>
      </c>
      <c r="M206" s="11" t="s">
        <v>27</v>
      </c>
    </row>
    <row r="208" spans="1:12" ht="15">
      <c r="A208" s="116" t="s">
        <v>591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1:13" ht="12.75">
      <c r="A209" s="5" t="s">
        <v>1191</v>
      </c>
      <c r="B209" s="5" t="s">
        <v>1192</v>
      </c>
      <c r="C209" s="5" t="s">
        <v>1193</v>
      </c>
      <c r="D209" s="5" t="str">
        <f>"0,5462"</f>
        <v>0,5462</v>
      </c>
      <c r="E209" s="5" t="s">
        <v>16</v>
      </c>
      <c r="F209" s="5" t="s">
        <v>999</v>
      </c>
      <c r="G209" s="6" t="s">
        <v>43</v>
      </c>
      <c r="H209" s="6" t="s">
        <v>43</v>
      </c>
      <c r="I209" s="6" t="s">
        <v>43</v>
      </c>
      <c r="J209" s="6"/>
      <c r="K209" s="5">
        <v>0</v>
      </c>
      <c r="L209" s="5" t="str">
        <f>"0,0000"</f>
        <v>0,0000</v>
      </c>
      <c r="M209" s="5" t="s">
        <v>27</v>
      </c>
    </row>
    <row r="210" ht="15">
      <c r="E210" s="13"/>
    </row>
    <row r="212" spans="1:2" ht="18">
      <c r="A212" s="14" t="s">
        <v>140</v>
      </c>
      <c r="B212" s="14"/>
    </row>
    <row r="213" spans="1:2" ht="15">
      <c r="A213" s="15" t="s">
        <v>595</v>
      </c>
      <c r="B213" s="15"/>
    </row>
    <row r="214" spans="1:2" ht="14.25">
      <c r="A214" s="17"/>
      <c r="B214" s="18" t="s">
        <v>596</v>
      </c>
    </row>
    <row r="215" spans="1:5" ht="15">
      <c r="A215" s="19" t="s">
        <v>597</v>
      </c>
      <c r="B215" s="19" t="s">
        <v>598</v>
      </c>
      <c r="C215" s="19" t="s">
        <v>599</v>
      </c>
      <c r="D215" s="19" t="s">
        <v>600</v>
      </c>
      <c r="E215" s="19" t="s">
        <v>601</v>
      </c>
    </row>
    <row r="216" spans="1:5" ht="12.75">
      <c r="A216" s="16" t="s">
        <v>776</v>
      </c>
      <c r="B216" s="4" t="s">
        <v>602</v>
      </c>
      <c r="C216" s="4" t="s">
        <v>618</v>
      </c>
      <c r="D216" s="4" t="s">
        <v>780</v>
      </c>
      <c r="E216" s="20" t="s">
        <v>1194</v>
      </c>
    </row>
    <row r="217" spans="1:5" ht="12.75">
      <c r="A217" s="16" t="s">
        <v>803</v>
      </c>
      <c r="B217" s="4" t="s">
        <v>605</v>
      </c>
      <c r="C217" s="4" t="s">
        <v>603</v>
      </c>
      <c r="D217" s="4" t="s">
        <v>37</v>
      </c>
      <c r="E217" s="20" t="s">
        <v>1195</v>
      </c>
    </row>
    <row r="218" spans="1:5" ht="12.75">
      <c r="A218" s="16" t="s">
        <v>163</v>
      </c>
      <c r="B218" s="4" t="s">
        <v>602</v>
      </c>
      <c r="C218" s="4" t="s">
        <v>614</v>
      </c>
      <c r="D218" s="4" t="s">
        <v>173</v>
      </c>
      <c r="E218" s="20" t="s">
        <v>1196</v>
      </c>
    </row>
    <row r="220" spans="1:2" ht="14.25">
      <c r="A220" s="17"/>
      <c r="B220" s="18" t="s">
        <v>608</v>
      </c>
    </row>
    <row r="221" spans="1:5" ht="15">
      <c r="A221" s="19" t="s">
        <v>597</v>
      </c>
      <c r="B221" s="19" t="s">
        <v>598</v>
      </c>
      <c r="C221" s="19" t="s">
        <v>599</v>
      </c>
      <c r="D221" s="19" t="s">
        <v>600</v>
      </c>
      <c r="E221" s="19" t="s">
        <v>601</v>
      </c>
    </row>
    <row r="222" spans="1:5" ht="12.75">
      <c r="A222" s="16" t="s">
        <v>806</v>
      </c>
      <c r="B222" s="4" t="s">
        <v>608</v>
      </c>
      <c r="C222" s="4" t="s">
        <v>603</v>
      </c>
      <c r="D222" s="4" t="s">
        <v>37</v>
      </c>
      <c r="E222" s="20" t="s">
        <v>1197</v>
      </c>
    </row>
    <row r="223" spans="1:5" ht="12.75">
      <c r="A223" s="16" t="s">
        <v>149</v>
      </c>
      <c r="B223" s="4" t="s">
        <v>608</v>
      </c>
      <c r="C223" s="4" t="s">
        <v>612</v>
      </c>
      <c r="D223" s="4" t="s">
        <v>173</v>
      </c>
      <c r="E223" s="20" t="s">
        <v>1198</v>
      </c>
    </row>
    <row r="224" spans="1:5" ht="12.75">
      <c r="A224" s="16" t="s">
        <v>783</v>
      </c>
      <c r="B224" s="4" t="s">
        <v>608</v>
      </c>
      <c r="C224" s="4" t="s">
        <v>618</v>
      </c>
      <c r="D224" s="4" t="s">
        <v>19</v>
      </c>
      <c r="E224" s="20" t="s">
        <v>1199</v>
      </c>
    </row>
    <row r="225" spans="1:5" ht="12.75">
      <c r="A225" s="16" t="s">
        <v>767</v>
      </c>
      <c r="B225" s="4" t="s">
        <v>608</v>
      </c>
      <c r="C225" s="4" t="s">
        <v>614</v>
      </c>
      <c r="D225" s="4" t="s">
        <v>173</v>
      </c>
      <c r="E225" s="20" t="s">
        <v>1200</v>
      </c>
    </row>
    <row r="227" spans="1:2" ht="14.25">
      <c r="A227" s="17"/>
      <c r="B227" s="18" t="s">
        <v>617</v>
      </c>
    </row>
    <row r="228" spans="1:5" ht="15">
      <c r="A228" s="19" t="s">
        <v>597</v>
      </c>
      <c r="B228" s="19" t="s">
        <v>598</v>
      </c>
      <c r="C228" s="19" t="s">
        <v>599</v>
      </c>
      <c r="D228" s="19" t="s">
        <v>600</v>
      </c>
      <c r="E228" s="19" t="s">
        <v>601</v>
      </c>
    </row>
    <row r="229" spans="1:5" ht="12.75">
      <c r="A229" s="16" t="s">
        <v>770</v>
      </c>
      <c r="B229" s="4" t="s">
        <v>617</v>
      </c>
      <c r="C229" s="4" t="s">
        <v>614</v>
      </c>
      <c r="D229" s="4" t="s">
        <v>168</v>
      </c>
      <c r="E229" s="20" t="s">
        <v>1201</v>
      </c>
    </row>
    <row r="230" spans="1:5" ht="12.75">
      <c r="A230" s="16" t="s">
        <v>825</v>
      </c>
      <c r="B230" s="4" t="s">
        <v>617</v>
      </c>
      <c r="C230" s="4" t="s">
        <v>606</v>
      </c>
      <c r="D230" s="4" t="s">
        <v>17</v>
      </c>
      <c r="E230" s="20" t="s">
        <v>1202</v>
      </c>
    </row>
    <row r="231" spans="1:5" ht="12.75">
      <c r="A231" s="16" t="s">
        <v>828</v>
      </c>
      <c r="B231" s="4" t="s">
        <v>617</v>
      </c>
      <c r="C231" s="4" t="s">
        <v>606</v>
      </c>
      <c r="D231" s="4" t="s">
        <v>285</v>
      </c>
      <c r="E231" s="20" t="s">
        <v>1203</v>
      </c>
    </row>
    <row r="232" spans="1:5" ht="12.75">
      <c r="A232" s="16" t="s">
        <v>809</v>
      </c>
      <c r="B232" s="4" t="s">
        <v>617</v>
      </c>
      <c r="C232" s="4" t="s">
        <v>603</v>
      </c>
      <c r="D232" s="4" t="s">
        <v>331</v>
      </c>
      <c r="E232" s="20" t="s">
        <v>1204</v>
      </c>
    </row>
    <row r="233" spans="1:5" ht="12.75">
      <c r="A233" s="16" t="s">
        <v>785</v>
      </c>
      <c r="B233" s="4" t="s">
        <v>617</v>
      </c>
      <c r="C233" s="4" t="s">
        <v>618</v>
      </c>
      <c r="D233" s="4" t="s">
        <v>781</v>
      </c>
      <c r="E233" s="20" t="s">
        <v>1205</v>
      </c>
    </row>
    <row r="234" spans="1:5" ht="12.75">
      <c r="A234" s="16" t="s">
        <v>789</v>
      </c>
      <c r="B234" s="4" t="s">
        <v>617</v>
      </c>
      <c r="C234" s="4" t="s">
        <v>618</v>
      </c>
      <c r="D234" s="4" t="s">
        <v>781</v>
      </c>
      <c r="E234" s="20" t="s">
        <v>1206</v>
      </c>
    </row>
    <row r="235" spans="1:5" ht="12.75">
      <c r="A235" s="16" t="s">
        <v>814</v>
      </c>
      <c r="B235" s="4" t="s">
        <v>617</v>
      </c>
      <c r="C235" s="4" t="s">
        <v>603</v>
      </c>
      <c r="D235" s="4" t="s">
        <v>31</v>
      </c>
      <c r="E235" s="20" t="s">
        <v>1207</v>
      </c>
    </row>
    <row r="236" spans="1:5" ht="12.75">
      <c r="A236" s="16" t="s">
        <v>797</v>
      </c>
      <c r="B236" s="4" t="s">
        <v>617</v>
      </c>
      <c r="C236" s="4" t="s">
        <v>609</v>
      </c>
      <c r="D236" s="4" t="s">
        <v>781</v>
      </c>
      <c r="E236" s="20" t="s">
        <v>1208</v>
      </c>
    </row>
    <row r="237" spans="1:5" ht="12.75">
      <c r="A237" s="16" t="s">
        <v>806</v>
      </c>
      <c r="B237" s="4" t="s">
        <v>617</v>
      </c>
      <c r="C237" s="4" t="s">
        <v>603</v>
      </c>
      <c r="D237" s="4" t="s">
        <v>37</v>
      </c>
      <c r="E237" s="20" t="s">
        <v>1197</v>
      </c>
    </row>
    <row r="238" spans="1:5" ht="12.75">
      <c r="A238" s="16" t="s">
        <v>761</v>
      </c>
      <c r="B238" s="4" t="s">
        <v>617</v>
      </c>
      <c r="C238" s="4" t="s">
        <v>612</v>
      </c>
      <c r="D238" s="4" t="s">
        <v>19</v>
      </c>
      <c r="E238" s="20" t="s">
        <v>1209</v>
      </c>
    </row>
    <row r="239" spans="1:5" ht="12.75">
      <c r="A239" s="16" t="s">
        <v>773</v>
      </c>
      <c r="B239" s="4" t="s">
        <v>617</v>
      </c>
      <c r="C239" s="4" t="s">
        <v>614</v>
      </c>
      <c r="D239" s="4" t="s">
        <v>173</v>
      </c>
      <c r="E239" s="20" t="s">
        <v>1210</v>
      </c>
    </row>
    <row r="240" spans="1:5" ht="12.75">
      <c r="A240" s="16" t="s">
        <v>831</v>
      </c>
      <c r="B240" s="4" t="s">
        <v>617</v>
      </c>
      <c r="C240" s="4" t="s">
        <v>1211</v>
      </c>
      <c r="D240" s="4" t="s">
        <v>37</v>
      </c>
      <c r="E240" s="20" t="s">
        <v>1212</v>
      </c>
    </row>
    <row r="241" spans="1:5" ht="12.75">
      <c r="A241" s="16" t="s">
        <v>765</v>
      </c>
      <c r="B241" s="4" t="s">
        <v>617</v>
      </c>
      <c r="C241" s="4" t="s">
        <v>612</v>
      </c>
      <c r="D241" s="4" t="s">
        <v>13</v>
      </c>
      <c r="E241" s="20" t="s">
        <v>1213</v>
      </c>
    </row>
    <row r="243" spans="1:2" ht="14.25">
      <c r="A243" s="17"/>
      <c r="B243" s="18" t="s">
        <v>632</v>
      </c>
    </row>
    <row r="244" spans="1:5" ht="15">
      <c r="A244" s="19" t="s">
        <v>597</v>
      </c>
      <c r="B244" s="19" t="s">
        <v>598</v>
      </c>
      <c r="C244" s="19" t="s">
        <v>599</v>
      </c>
      <c r="D244" s="19" t="s">
        <v>600</v>
      </c>
      <c r="E244" s="19" t="s">
        <v>601</v>
      </c>
    </row>
    <row r="245" spans="1:5" ht="12.75">
      <c r="A245" s="16" t="s">
        <v>814</v>
      </c>
      <c r="B245" s="4" t="s">
        <v>633</v>
      </c>
      <c r="C245" s="4" t="s">
        <v>603</v>
      </c>
      <c r="D245" s="4" t="s">
        <v>31</v>
      </c>
      <c r="E245" s="20" t="s">
        <v>1214</v>
      </c>
    </row>
    <row r="246" spans="1:5" ht="12.75">
      <c r="A246" s="16" t="s">
        <v>244</v>
      </c>
      <c r="B246" s="4" t="s">
        <v>727</v>
      </c>
      <c r="C246" s="4" t="s">
        <v>603</v>
      </c>
      <c r="D246" s="4" t="s">
        <v>19</v>
      </c>
      <c r="E246" s="20" t="s">
        <v>1215</v>
      </c>
    </row>
    <row r="247" spans="1:5" ht="12.75">
      <c r="A247" s="16" t="s">
        <v>818</v>
      </c>
      <c r="B247" s="4" t="s">
        <v>633</v>
      </c>
      <c r="C247" s="4" t="s">
        <v>603</v>
      </c>
      <c r="D247" s="4" t="s">
        <v>209</v>
      </c>
      <c r="E247" s="20" t="s">
        <v>1216</v>
      </c>
    </row>
    <row r="248" spans="1:5" ht="12.75">
      <c r="A248" s="16" t="s">
        <v>212</v>
      </c>
      <c r="B248" s="4" t="s">
        <v>633</v>
      </c>
      <c r="C248" s="4" t="s">
        <v>609</v>
      </c>
      <c r="D248" s="4" t="s">
        <v>19</v>
      </c>
      <c r="E248" s="20" t="s">
        <v>1217</v>
      </c>
    </row>
    <row r="249" spans="1:5" ht="12.75">
      <c r="A249" s="16" t="s">
        <v>821</v>
      </c>
      <c r="B249" s="4" t="s">
        <v>727</v>
      </c>
      <c r="C249" s="4" t="s">
        <v>603</v>
      </c>
      <c r="D249" s="4" t="s">
        <v>152</v>
      </c>
      <c r="E249" s="20" t="s">
        <v>1218</v>
      </c>
    </row>
    <row r="251" spans="1:2" ht="15">
      <c r="A251" s="15" t="s">
        <v>637</v>
      </c>
      <c r="B251" s="15"/>
    </row>
    <row r="252" spans="1:2" ht="14.25">
      <c r="A252" s="17"/>
      <c r="B252" s="18" t="s">
        <v>596</v>
      </c>
    </row>
    <row r="253" spans="1:5" ht="15">
      <c r="A253" s="19" t="s">
        <v>597</v>
      </c>
      <c r="B253" s="19" t="s">
        <v>598</v>
      </c>
      <c r="C253" s="19" t="s">
        <v>599</v>
      </c>
      <c r="D253" s="19" t="s">
        <v>600</v>
      </c>
      <c r="E253" s="19" t="s">
        <v>601</v>
      </c>
    </row>
    <row r="254" spans="1:5" ht="12.75">
      <c r="A254" s="16" t="s">
        <v>1041</v>
      </c>
      <c r="B254" s="4" t="s">
        <v>605</v>
      </c>
      <c r="C254" s="4" t="s">
        <v>662</v>
      </c>
      <c r="D254" s="4" t="s">
        <v>301</v>
      </c>
      <c r="E254" s="20" t="s">
        <v>1219</v>
      </c>
    </row>
    <row r="255" spans="1:5" ht="12.75">
      <c r="A255" s="16" t="s">
        <v>923</v>
      </c>
      <c r="B255" s="4" t="s">
        <v>605</v>
      </c>
      <c r="C255" s="4" t="s">
        <v>654</v>
      </c>
      <c r="D255" s="4" t="s">
        <v>36</v>
      </c>
      <c r="E255" s="20" t="s">
        <v>1220</v>
      </c>
    </row>
    <row r="256" spans="1:5" ht="12.75">
      <c r="A256" s="16" t="s">
        <v>1092</v>
      </c>
      <c r="B256" s="4" t="s">
        <v>605</v>
      </c>
      <c r="C256" s="4" t="s">
        <v>649</v>
      </c>
      <c r="D256" s="4" t="s">
        <v>99</v>
      </c>
      <c r="E256" s="20" t="s">
        <v>1221</v>
      </c>
    </row>
    <row r="257" spans="1:5" ht="12.75">
      <c r="A257" s="16" t="s">
        <v>1096</v>
      </c>
      <c r="B257" s="4" t="s">
        <v>605</v>
      </c>
      <c r="C257" s="4" t="s">
        <v>649</v>
      </c>
      <c r="D257" s="4" t="s">
        <v>99</v>
      </c>
      <c r="E257" s="20" t="s">
        <v>1222</v>
      </c>
    </row>
    <row r="258" spans="1:5" ht="12.75">
      <c r="A258" s="16" t="s">
        <v>3569</v>
      </c>
      <c r="B258" s="4" t="s">
        <v>605</v>
      </c>
      <c r="C258" s="4" t="s">
        <v>2403</v>
      </c>
      <c r="D258" s="4" t="s">
        <v>42</v>
      </c>
      <c r="E258" s="20" t="s">
        <v>3568</v>
      </c>
    </row>
    <row r="259" spans="1:5" ht="12.75">
      <c r="A259" s="16" t="s">
        <v>846</v>
      </c>
      <c r="B259" s="4" t="s">
        <v>605</v>
      </c>
      <c r="C259" s="4" t="s">
        <v>603</v>
      </c>
      <c r="D259" s="4" t="s">
        <v>30</v>
      </c>
      <c r="E259" s="20" t="s">
        <v>1223</v>
      </c>
    </row>
    <row r="260" spans="1:5" ht="12.75">
      <c r="A260" s="16" t="s">
        <v>867</v>
      </c>
      <c r="B260" s="4" t="s">
        <v>605</v>
      </c>
      <c r="C260" s="4" t="s">
        <v>606</v>
      </c>
      <c r="D260" s="4" t="s">
        <v>30</v>
      </c>
      <c r="E260" s="20" t="s">
        <v>1224</v>
      </c>
    </row>
    <row r="261" spans="1:5" ht="12.75">
      <c r="A261" s="16" t="s">
        <v>1045</v>
      </c>
      <c r="B261" s="4" t="s">
        <v>605</v>
      </c>
      <c r="C261" s="4" t="s">
        <v>662</v>
      </c>
      <c r="D261" s="4" t="s">
        <v>38</v>
      </c>
      <c r="E261" s="20" t="s">
        <v>1225</v>
      </c>
    </row>
    <row r="262" spans="1:5" ht="12.75">
      <c r="A262" s="16" t="s">
        <v>871</v>
      </c>
      <c r="B262" s="4" t="s">
        <v>605</v>
      </c>
      <c r="C262" s="4" t="s">
        <v>606</v>
      </c>
      <c r="D262" s="4" t="s">
        <v>169</v>
      </c>
      <c r="E262" s="20" t="s">
        <v>1226</v>
      </c>
    </row>
    <row r="263" spans="1:5" ht="12.75">
      <c r="A263" s="16" t="s">
        <v>835</v>
      </c>
      <c r="B263" s="4" t="s">
        <v>602</v>
      </c>
      <c r="C263" s="4" t="s">
        <v>618</v>
      </c>
      <c r="D263" s="4" t="s">
        <v>1227</v>
      </c>
      <c r="E263" s="20" t="s">
        <v>1228</v>
      </c>
    </row>
    <row r="264" spans="1:5" ht="12.75">
      <c r="A264" s="16" t="s">
        <v>542</v>
      </c>
      <c r="B264" s="4" t="s">
        <v>605</v>
      </c>
      <c r="C264" s="4" t="s">
        <v>657</v>
      </c>
      <c r="D264" s="4" t="s">
        <v>33</v>
      </c>
      <c r="E264" s="20" t="s">
        <v>1229</v>
      </c>
    </row>
    <row r="265" spans="1:5" ht="12.75">
      <c r="A265" s="16" t="s">
        <v>919</v>
      </c>
      <c r="B265" s="4" t="s">
        <v>602</v>
      </c>
      <c r="C265" s="4" t="s">
        <v>654</v>
      </c>
      <c r="D265" s="4" t="s">
        <v>110</v>
      </c>
      <c r="E265" s="20" t="s">
        <v>1230</v>
      </c>
    </row>
    <row r="266" spans="1:5" ht="12.75">
      <c r="A266" s="16" t="s">
        <v>839</v>
      </c>
      <c r="B266" s="4" t="s">
        <v>602</v>
      </c>
      <c r="C266" s="4" t="s">
        <v>603</v>
      </c>
      <c r="D266" s="4" t="s">
        <v>50</v>
      </c>
      <c r="E266" s="20" t="s">
        <v>1231</v>
      </c>
    </row>
    <row r="267" spans="1:5" ht="12.75">
      <c r="A267" s="16" t="s">
        <v>985</v>
      </c>
      <c r="B267" s="4" t="s">
        <v>602</v>
      </c>
      <c r="C267" s="4" t="s">
        <v>638</v>
      </c>
      <c r="D267" s="4" t="s">
        <v>17</v>
      </c>
      <c r="E267" s="20" t="s">
        <v>1232</v>
      </c>
    </row>
    <row r="268" spans="1:5" ht="12.75">
      <c r="A268" s="16" t="s">
        <v>841</v>
      </c>
      <c r="B268" s="4" t="s">
        <v>602</v>
      </c>
      <c r="C268" s="4" t="s">
        <v>603</v>
      </c>
      <c r="D268" s="4" t="s">
        <v>31</v>
      </c>
      <c r="E268" s="20" t="s">
        <v>1233</v>
      </c>
    </row>
    <row r="270" spans="1:2" ht="14.25">
      <c r="A270" s="17"/>
      <c r="B270" s="18" t="s">
        <v>608</v>
      </c>
    </row>
    <row r="271" spans="1:5" ht="15">
      <c r="A271" s="19" t="s">
        <v>597</v>
      </c>
      <c r="B271" s="19" t="s">
        <v>598</v>
      </c>
      <c r="C271" s="19" t="s">
        <v>599</v>
      </c>
      <c r="D271" s="19" t="s">
        <v>600</v>
      </c>
      <c r="E271" s="19" t="s">
        <v>601</v>
      </c>
    </row>
    <row r="272" spans="1:5" ht="12.75">
      <c r="A272" s="16" t="s">
        <v>1048</v>
      </c>
      <c r="B272" s="4" t="s">
        <v>608</v>
      </c>
      <c r="C272" s="4" t="s">
        <v>662</v>
      </c>
      <c r="D272" s="4" t="s">
        <v>48</v>
      </c>
      <c r="E272" s="20" t="s">
        <v>1234</v>
      </c>
    </row>
    <row r="273" spans="1:5" ht="12.75">
      <c r="A273" s="16" t="s">
        <v>926</v>
      </c>
      <c r="B273" s="4" t="s">
        <v>608</v>
      </c>
      <c r="C273" s="4" t="s">
        <v>654</v>
      </c>
      <c r="D273" s="4" t="s">
        <v>348</v>
      </c>
      <c r="E273" s="20" t="s">
        <v>1235</v>
      </c>
    </row>
    <row r="274" spans="1:5" ht="12.75">
      <c r="A274" s="16" t="s">
        <v>874</v>
      </c>
      <c r="B274" s="4" t="s">
        <v>608</v>
      </c>
      <c r="C274" s="4" t="s">
        <v>606</v>
      </c>
      <c r="D274" s="4" t="s">
        <v>330</v>
      </c>
      <c r="E274" s="20" t="s">
        <v>1236</v>
      </c>
    </row>
    <row r="275" spans="1:5" ht="12.75">
      <c r="A275" s="16" t="s">
        <v>377</v>
      </c>
      <c r="B275" s="4" t="s">
        <v>608</v>
      </c>
      <c r="C275" s="4" t="s">
        <v>638</v>
      </c>
      <c r="D275" s="4" t="s">
        <v>99</v>
      </c>
      <c r="E275" s="20" t="s">
        <v>1237</v>
      </c>
    </row>
    <row r="276" spans="1:5" ht="12.75">
      <c r="A276" s="16" t="s">
        <v>876</v>
      </c>
      <c r="B276" s="4" t="s">
        <v>608</v>
      </c>
      <c r="C276" s="4" t="s">
        <v>606</v>
      </c>
      <c r="D276" s="4" t="s">
        <v>36</v>
      </c>
      <c r="E276" s="20" t="s">
        <v>1238</v>
      </c>
    </row>
    <row r="277" spans="1:5" ht="12.75">
      <c r="A277" s="16" t="s">
        <v>992</v>
      </c>
      <c r="B277" s="4" t="s">
        <v>608</v>
      </c>
      <c r="C277" s="4" t="s">
        <v>638</v>
      </c>
      <c r="D277" s="4" t="s">
        <v>42</v>
      </c>
      <c r="E277" s="20" t="s">
        <v>1239</v>
      </c>
    </row>
    <row r="278" spans="1:5" ht="12.75">
      <c r="A278" s="16" t="s">
        <v>1179</v>
      </c>
      <c r="B278" s="4" t="s">
        <v>608</v>
      </c>
      <c r="C278" s="4" t="s">
        <v>665</v>
      </c>
      <c r="D278" s="4" t="s">
        <v>48</v>
      </c>
      <c r="E278" s="20" t="s">
        <v>1240</v>
      </c>
    </row>
    <row r="279" spans="1:5" ht="12.75">
      <c r="A279" s="16" t="s">
        <v>848</v>
      </c>
      <c r="B279" s="4" t="s">
        <v>608</v>
      </c>
      <c r="C279" s="4" t="s">
        <v>603</v>
      </c>
      <c r="D279" s="4" t="s">
        <v>25</v>
      </c>
      <c r="E279" s="20" t="s">
        <v>1241</v>
      </c>
    </row>
    <row r="280" spans="1:5" ht="12.75">
      <c r="A280" s="16" t="s">
        <v>878</v>
      </c>
      <c r="B280" s="4" t="s">
        <v>608</v>
      </c>
      <c r="C280" s="4" t="s">
        <v>606</v>
      </c>
      <c r="D280" s="4" t="s">
        <v>130</v>
      </c>
      <c r="E280" s="20" t="s">
        <v>1242</v>
      </c>
    </row>
    <row r="281" spans="1:5" ht="12.75">
      <c r="A281" s="16" t="s">
        <v>851</v>
      </c>
      <c r="B281" s="4" t="s">
        <v>608</v>
      </c>
      <c r="C281" s="4" t="s">
        <v>603</v>
      </c>
      <c r="D281" s="4" t="s">
        <v>30</v>
      </c>
      <c r="E281" s="20" t="s">
        <v>1243</v>
      </c>
    </row>
    <row r="282" spans="1:5" ht="12.75">
      <c r="A282" s="16" t="s">
        <v>260</v>
      </c>
      <c r="B282" s="4" t="s">
        <v>608</v>
      </c>
      <c r="C282" s="4" t="s">
        <v>618</v>
      </c>
      <c r="D282" s="4" t="s">
        <v>20</v>
      </c>
      <c r="E282" s="20" t="s">
        <v>1244</v>
      </c>
    </row>
    <row r="283" spans="1:5" ht="12.75">
      <c r="A283" s="16" t="s">
        <v>881</v>
      </c>
      <c r="B283" s="4" t="s">
        <v>608</v>
      </c>
      <c r="C283" s="4" t="s">
        <v>606</v>
      </c>
      <c r="D283" s="4" t="s">
        <v>58</v>
      </c>
      <c r="E283" s="20" t="s">
        <v>1245</v>
      </c>
    </row>
    <row r="284" spans="1:5" ht="12.75">
      <c r="A284" s="16" t="s">
        <v>994</v>
      </c>
      <c r="B284" s="4" t="s">
        <v>608</v>
      </c>
      <c r="C284" s="4" t="s">
        <v>638</v>
      </c>
      <c r="D284" s="4" t="s">
        <v>254</v>
      </c>
      <c r="E284" s="20" t="s">
        <v>1246</v>
      </c>
    </row>
    <row r="286" spans="1:2" ht="14.25">
      <c r="A286" s="17"/>
      <c r="B286" s="18" t="s">
        <v>617</v>
      </c>
    </row>
    <row r="287" spans="1:5" ht="15">
      <c r="A287" s="19" t="s">
        <v>597</v>
      </c>
      <c r="B287" s="19" t="s">
        <v>598</v>
      </c>
      <c r="C287" s="19" t="s">
        <v>599</v>
      </c>
      <c r="D287" s="19" t="s">
        <v>600</v>
      </c>
      <c r="E287" s="19" t="s">
        <v>601</v>
      </c>
    </row>
    <row r="288" spans="1:5" ht="12.75">
      <c r="A288" s="16" t="s">
        <v>1100</v>
      </c>
      <c r="B288" s="4" t="s">
        <v>617</v>
      </c>
      <c r="C288" s="4" t="s">
        <v>649</v>
      </c>
      <c r="D288" s="4" t="s">
        <v>65</v>
      </c>
      <c r="E288" s="20" t="s">
        <v>1247</v>
      </c>
    </row>
    <row r="289" spans="1:5" ht="12.75">
      <c r="A289" s="16" t="s">
        <v>885</v>
      </c>
      <c r="B289" s="4" t="s">
        <v>617</v>
      </c>
      <c r="C289" s="4" t="s">
        <v>606</v>
      </c>
      <c r="D289" s="4" t="s">
        <v>48</v>
      </c>
      <c r="E289" s="20" t="s">
        <v>1248</v>
      </c>
    </row>
    <row r="290" spans="1:5" ht="12.75">
      <c r="A290" s="16" t="s">
        <v>930</v>
      </c>
      <c r="B290" s="4" t="s">
        <v>617</v>
      </c>
      <c r="C290" s="4" t="s">
        <v>654</v>
      </c>
      <c r="D290" s="4" t="s">
        <v>284</v>
      </c>
      <c r="E290" s="20" t="s">
        <v>1249</v>
      </c>
    </row>
    <row r="291" spans="1:5" ht="12.75">
      <c r="A291" s="16" t="s">
        <v>1155</v>
      </c>
      <c r="B291" s="4" t="s">
        <v>617</v>
      </c>
      <c r="C291" s="4" t="s">
        <v>657</v>
      </c>
      <c r="D291" s="4" t="s">
        <v>68</v>
      </c>
      <c r="E291" s="20" t="s">
        <v>1250</v>
      </c>
    </row>
    <row r="292" spans="1:5" ht="12.75">
      <c r="A292" s="16" t="s">
        <v>932</v>
      </c>
      <c r="B292" s="4" t="s">
        <v>617</v>
      </c>
      <c r="C292" s="4" t="s">
        <v>654</v>
      </c>
      <c r="D292" s="4" t="s">
        <v>48</v>
      </c>
      <c r="E292" s="20" t="s">
        <v>1251</v>
      </c>
    </row>
    <row r="293" spans="1:5" ht="12.75">
      <c r="A293" s="16" t="s">
        <v>1182</v>
      </c>
      <c r="B293" s="4" t="s">
        <v>617</v>
      </c>
      <c r="C293" s="4" t="s">
        <v>665</v>
      </c>
      <c r="D293" s="4" t="s">
        <v>113</v>
      </c>
      <c r="E293" s="20" t="s">
        <v>1252</v>
      </c>
    </row>
    <row r="294" spans="1:5" ht="12.75">
      <c r="A294" s="16" t="s">
        <v>997</v>
      </c>
      <c r="B294" s="4" t="s">
        <v>617</v>
      </c>
      <c r="C294" s="4" t="s">
        <v>638</v>
      </c>
      <c r="D294" s="4" t="s">
        <v>283</v>
      </c>
      <c r="E294" s="20" t="s">
        <v>1253</v>
      </c>
    </row>
    <row r="295" spans="1:5" ht="12.75">
      <c r="A295" s="16" t="s">
        <v>1050</v>
      </c>
      <c r="B295" s="4" t="s">
        <v>617</v>
      </c>
      <c r="C295" s="4" t="s">
        <v>662</v>
      </c>
      <c r="D295" s="4" t="s">
        <v>284</v>
      </c>
      <c r="E295" s="20" t="s">
        <v>1254</v>
      </c>
    </row>
    <row r="296" spans="1:5" ht="12.75">
      <c r="A296" s="16" t="s">
        <v>289</v>
      </c>
      <c r="B296" s="4" t="s">
        <v>617</v>
      </c>
      <c r="C296" s="4" t="s">
        <v>603</v>
      </c>
      <c r="D296" s="4" t="s">
        <v>189</v>
      </c>
      <c r="E296" s="20" t="s">
        <v>1255</v>
      </c>
    </row>
    <row r="297" spans="1:5" ht="12.75">
      <c r="A297" s="16" t="s">
        <v>1052</v>
      </c>
      <c r="B297" s="4" t="s">
        <v>617</v>
      </c>
      <c r="C297" s="4" t="s">
        <v>662</v>
      </c>
      <c r="D297" s="4" t="s">
        <v>44</v>
      </c>
      <c r="E297" s="20" t="s">
        <v>1256</v>
      </c>
    </row>
    <row r="298" spans="1:5" ht="12.75">
      <c r="A298" s="16" t="s">
        <v>449</v>
      </c>
      <c r="B298" s="4" t="s">
        <v>617</v>
      </c>
      <c r="C298" s="4" t="s">
        <v>662</v>
      </c>
      <c r="D298" s="4" t="s">
        <v>309</v>
      </c>
      <c r="E298" s="20" t="s">
        <v>1257</v>
      </c>
    </row>
    <row r="299" spans="1:5" ht="12.75">
      <c r="A299" s="16" t="s">
        <v>887</v>
      </c>
      <c r="B299" s="4" t="s">
        <v>617</v>
      </c>
      <c r="C299" s="4" t="s">
        <v>606</v>
      </c>
      <c r="D299" s="4" t="s">
        <v>42</v>
      </c>
      <c r="E299" s="20" t="s">
        <v>1258</v>
      </c>
    </row>
    <row r="300" spans="1:5" ht="12.75">
      <c r="A300" s="16" t="s">
        <v>1001</v>
      </c>
      <c r="B300" s="4" t="s">
        <v>617</v>
      </c>
      <c r="C300" s="4" t="s">
        <v>638</v>
      </c>
      <c r="D300" s="4" t="s">
        <v>48</v>
      </c>
      <c r="E300" s="20" t="s">
        <v>1259</v>
      </c>
    </row>
    <row r="301" spans="1:5" ht="12.75">
      <c r="A301" s="16" t="s">
        <v>935</v>
      </c>
      <c r="B301" s="4" t="s">
        <v>617</v>
      </c>
      <c r="C301" s="4" t="s">
        <v>654</v>
      </c>
      <c r="D301" s="4" t="s">
        <v>399</v>
      </c>
      <c r="E301" s="20" t="s">
        <v>1260</v>
      </c>
    </row>
    <row r="302" spans="1:5" ht="12.75">
      <c r="A302" s="16" t="s">
        <v>1004</v>
      </c>
      <c r="B302" s="4" t="s">
        <v>617</v>
      </c>
      <c r="C302" s="4" t="s">
        <v>638</v>
      </c>
      <c r="D302" s="4" t="s">
        <v>121</v>
      </c>
      <c r="E302" s="20" t="s">
        <v>1261</v>
      </c>
    </row>
    <row r="303" spans="1:5" ht="12.75">
      <c r="A303" s="16" t="s">
        <v>890</v>
      </c>
      <c r="B303" s="4" t="s">
        <v>617</v>
      </c>
      <c r="C303" s="4" t="s">
        <v>606</v>
      </c>
      <c r="D303" s="4" t="s">
        <v>109</v>
      </c>
      <c r="E303" s="20" t="s">
        <v>1262</v>
      </c>
    </row>
    <row r="304" spans="1:5" ht="12.75">
      <c r="A304" s="16" t="s">
        <v>1103</v>
      </c>
      <c r="B304" s="4" t="s">
        <v>617</v>
      </c>
      <c r="C304" s="4" t="s">
        <v>649</v>
      </c>
      <c r="D304" s="4" t="s">
        <v>309</v>
      </c>
      <c r="E304" s="20" t="s">
        <v>1263</v>
      </c>
    </row>
    <row r="305" spans="1:5" ht="12.75">
      <c r="A305" s="16" t="s">
        <v>1056</v>
      </c>
      <c r="B305" s="4" t="s">
        <v>617</v>
      </c>
      <c r="C305" s="4" t="s">
        <v>662</v>
      </c>
      <c r="D305" s="4" t="s">
        <v>48</v>
      </c>
      <c r="E305" s="20" t="s">
        <v>1264</v>
      </c>
    </row>
    <row r="306" spans="1:5" ht="12.75">
      <c r="A306" s="16" t="s">
        <v>1184</v>
      </c>
      <c r="B306" s="4" t="s">
        <v>617</v>
      </c>
      <c r="C306" s="4" t="s">
        <v>665</v>
      </c>
      <c r="D306" s="4" t="s">
        <v>49</v>
      </c>
      <c r="E306" s="20" t="s">
        <v>1265</v>
      </c>
    </row>
    <row r="307" spans="1:5" ht="12.75">
      <c r="A307" s="16" t="s">
        <v>1007</v>
      </c>
      <c r="B307" s="4" t="s">
        <v>617</v>
      </c>
      <c r="C307" s="4" t="s">
        <v>638</v>
      </c>
      <c r="D307" s="4" t="s">
        <v>43</v>
      </c>
      <c r="E307" s="20" t="s">
        <v>1266</v>
      </c>
    </row>
    <row r="308" spans="1:5" ht="12.75">
      <c r="A308" s="16" t="s">
        <v>294</v>
      </c>
      <c r="B308" s="4" t="s">
        <v>617</v>
      </c>
      <c r="C308" s="4" t="s">
        <v>603</v>
      </c>
      <c r="D308" s="4" t="s">
        <v>38</v>
      </c>
      <c r="E308" s="20" t="s">
        <v>1267</v>
      </c>
    </row>
    <row r="309" spans="1:5" ht="12.75">
      <c r="A309" s="16" t="s">
        <v>397</v>
      </c>
      <c r="B309" s="4" t="s">
        <v>617</v>
      </c>
      <c r="C309" s="4" t="s">
        <v>638</v>
      </c>
      <c r="D309" s="4" t="s">
        <v>399</v>
      </c>
      <c r="E309" s="20" t="s">
        <v>1268</v>
      </c>
    </row>
    <row r="310" spans="1:5" ht="12.75">
      <c r="A310" s="16" t="s">
        <v>1106</v>
      </c>
      <c r="B310" s="4" t="s">
        <v>617</v>
      </c>
      <c r="C310" s="4" t="s">
        <v>649</v>
      </c>
      <c r="D310" s="4" t="s">
        <v>48</v>
      </c>
      <c r="E310" s="20" t="s">
        <v>1269</v>
      </c>
    </row>
    <row r="311" spans="1:5" ht="12.75">
      <c r="A311" s="16" t="s">
        <v>1108</v>
      </c>
      <c r="B311" s="4" t="s">
        <v>617</v>
      </c>
      <c r="C311" s="4" t="s">
        <v>649</v>
      </c>
      <c r="D311" s="4" t="s">
        <v>48</v>
      </c>
      <c r="E311" s="20" t="s">
        <v>1270</v>
      </c>
    </row>
    <row r="313" spans="1:2" ht="14.25">
      <c r="A313" s="17"/>
      <c r="B313" s="18" t="s">
        <v>632</v>
      </c>
    </row>
    <row r="314" spans="1:5" ht="15">
      <c r="A314" s="19" t="s">
        <v>597</v>
      </c>
      <c r="B314" s="19" t="s">
        <v>598</v>
      </c>
      <c r="C314" s="19" t="s">
        <v>599</v>
      </c>
      <c r="D314" s="19" t="s">
        <v>600</v>
      </c>
      <c r="E314" s="19" t="s">
        <v>601</v>
      </c>
    </row>
    <row r="315" spans="1:5" ht="12.75">
      <c r="A315" s="16" t="s">
        <v>1184</v>
      </c>
      <c r="B315" s="4" t="s">
        <v>727</v>
      </c>
      <c r="C315" s="4" t="s">
        <v>665</v>
      </c>
      <c r="D315" s="4" t="s">
        <v>49</v>
      </c>
      <c r="E315" s="20" t="s">
        <v>1271</v>
      </c>
    </row>
    <row r="316" spans="1:5" ht="12.75">
      <c r="A316" s="16" t="s">
        <v>917</v>
      </c>
      <c r="B316" s="4" t="s">
        <v>730</v>
      </c>
      <c r="C316" s="4" t="s">
        <v>606</v>
      </c>
      <c r="D316" s="4" t="s">
        <v>58</v>
      </c>
      <c r="E316" s="20" t="s">
        <v>1272</v>
      </c>
    </row>
    <row r="317" spans="1:5" ht="12.75">
      <c r="A317" s="16" t="s">
        <v>982</v>
      </c>
      <c r="B317" s="4" t="s">
        <v>727</v>
      </c>
      <c r="C317" s="4" t="s">
        <v>654</v>
      </c>
      <c r="D317" s="4" t="s">
        <v>33</v>
      </c>
      <c r="E317" s="20" t="s">
        <v>1273</v>
      </c>
    </row>
    <row r="318" spans="1:5" ht="12.75">
      <c r="A318" s="16" t="s">
        <v>1088</v>
      </c>
      <c r="B318" s="4" t="s">
        <v>727</v>
      </c>
      <c r="C318" s="4" t="s">
        <v>662</v>
      </c>
      <c r="D318" s="4" t="s">
        <v>42</v>
      </c>
      <c r="E318" s="20" t="s">
        <v>1274</v>
      </c>
    </row>
    <row r="319" spans="1:5" ht="12.75">
      <c r="A319" s="16" t="s">
        <v>568</v>
      </c>
      <c r="B319" s="4" t="s">
        <v>633</v>
      </c>
      <c r="C319" s="4" t="s">
        <v>657</v>
      </c>
      <c r="D319" s="4" t="s">
        <v>56</v>
      </c>
      <c r="E319" s="20" t="s">
        <v>1275</v>
      </c>
    </row>
    <row r="320" spans="1:5" ht="12.75">
      <c r="A320" s="16" t="s">
        <v>1090</v>
      </c>
      <c r="B320" s="4" t="s">
        <v>727</v>
      </c>
      <c r="C320" s="4" t="s">
        <v>662</v>
      </c>
      <c r="D320" s="4" t="s">
        <v>35</v>
      </c>
      <c r="E320" s="20" t="s">
        <v>1276</v>
      </c>
    </row>
    <row r="321" spans="1:5" ht="12.75">
      <c r="A321" s="16" t="s">
        <v>1132</v>
      </c>
      <c r="B321" s="4" t="s">
        <v>633</v>
      </c>
      <c r="C321" s="4" t="s">
        <v>649</v>
      </c>
      <c r="D321" s="4" t="s">
        <v>309</v>
      </c>
      <c r="E321" s="20" t="s">
        <v>1277</v>
      </c>
    </row>
    <row r="322" spans="1:5" ht="12.75">
      <c r="A322" s="16" t="s">
        <v>500</v>
      </c>
      <c r="B322" s="4" t="s">
        <v>727</v>
      </c>
      <c r="C322" s="4" t="s">
        <v>662</v>
      </c>
      <c r="D322" s="4" t="s">
        <v>123</v>
      </c>
      <c r="E322" s="20" t="s">
        <v>1278</v>
      </c>
    </row>
    <row r="323" spans="1:5" ht="12.75">
      <c r="A323" s="16" t="s">
        <v>977</v>
      </c>
      <c r="B323" s="4" t="s">
        <v>633</v>
      </c>
      <c r="C323" s="4" t="s">
        <v>654</v>
      </c>
      <c r="D323" s="4" t="s">
        <v>36</v>
      </c>
      <c r="E323" s="20" t="s">
        <v>1279</v>
      </c>
    </row>
    <row r="324" spans="1:5" ht="12.75">
      <c r="A324" s="16" t="s">
        <v>1174</v>
      </c>
      <c r="B324" s="4" t="s">
        <v>727</v>
      </c>
      <c r="C324" s="4" t="s">
        <v>657</v>
      </c>
      <c r="D324" s="4" t="s">
        <v>99</v>
      </c>
      <c r="E324" s="20" t="s">
        <v>1280</v>
      </c>
    </row>
    <row r="325" spans="1:5" ht="12.75">
      <c r="A325" s="16" t="s">
        <v>1149</v>
      </c>
      <c r="B325" s="4" t="s">
        <v>730</v>
      </c>
      <c r="C325" s="4" t="s">
        <v>649</v>
      </c>
      <c r="D325" s="4" t="s">
        <v>33</v>
      </c>
      <c r="E325" s="20" t="s">
        <v>1281</v>
      </c>
    </row>
    <row r="326" spans="1:5" ht="12.75">
      <c r="A326" s="16" t="s">
        <v>1079</v>
      </c>
      <c r="B326" s="4" t="s">
        <v>633</v>
      </c>
      <c r="C326" s="4" t="s">
        <v>662</v>
      </c>
      <c r="D326" s="4" t="s">
        <v>48</v>
      </c>
      <c r="E326" s="20" t="s">
        <v>1282</v>
      </c>
    </row>
    <row r="327" spans="1:5" ht="12.75">
      <c r="A327" s="16" t="s">
        <v>941</v>
      </c>
      <c r="B327" s="4" t="s">
        <v>633</v>
      </c>
      <c r="C327" s="4" t="s">
        <v>654</v>
      </c>
      <c r="D327" s="4" t="s">
        <v>410</v>
      </c>
      <c r="E327" s="20" t="s">
        <v>1283</v>
      </c>
    </row>
    <row r="328" spans="1:5" ht="12.75">
      <c r="A328" s="16" t="s">
        <v>1177</v>
      </c>
      <c r="B328" s="4" t="s">
        <v>727</v>
      </c>
      <c r="C328" s="4" t="s">
        <v>657</v>
      </c>
      <c r="D328" s="4" t="s">
        <v>109</v>
      </c>
      <c r="E328" s="20" t="s">
        <v>1284</v>
      </c>
    </row>
    <row r="329" spans="1:5" ht="12.75">
      <c r="A329" s="16" t="s">
        <v>495</v>
      </c>
      <c r="B329" s="4" t="s">
        <v>727</v>
      </c>
      <c r="C329" s="4" t="s">
        <v>662</v>
      </c>
      <c r="D329" s="4" t="s">
        <v>36</v>
      </c>
      <c r="E329" s="20" t="s">
        <v>1285</v>
      </c>
    </row>
    <row r="330" spans="1:5" ht="12.75">
      <c r="A330" s="16" t="s">
        <v>1158</v>
      </c>
      <c r="B330" s="4" t="s">
        <v>633</v>
      </c>
      <c r="C330" s="4" t="s">
        <v>657</v>
      </c>
      <c r="D330" s="4" t="s">
        <v>121</v>
      </c>
      <c r="E330" s="20" t="s">
        <v>1286</v>
      </c>
    </row>
    <row r="331" spans="1:5" ht="12.75">
      <c r="A331" s="16" t="s">
        <v>1145</v>
      </c>
      <c r="B331" s="4" t="s">
        <v>727</v>
      </c>
      <c r="C331" s="4" t="s">
        <v>649</v>
      </c>
      <c r="D331" s="4" t="s">
        <v>410</v>
      </c>
      <c r="E331" s="20" t="s">
        <v>1287</v>
      </c>
    </row>
    <row r="332" spans="1:5" ht="12.75">
      <c r="A332" s="16" t="s">
        <v>1152</v>
      </c>
      <c r="B332" s="4" t="s">
        <v>730</v>
      </c>
      <c r="C332" s="4" t="s">
        <v>649</v>
      </c>
      <c r="D332" s="4" t="s">
        <v>254</v>
      </c>
      <c r="E332" s="20" t="s">
        <v>1288</v>
      </c>
    </row>
    <row r="333" spans="1:5" ht="12.75">
      <c r="A333" s="16" t="s">
        <v>1135</v>
      </c>
      <c r="B333" s="4" t="s">
        <v>633</v>
      </c>
      <c r="C333" s="4" t="s">
        <v>649</v>
      </c>
      <c r="D333" s="4" t="s">
        <v>109</v>
      </c>
      <c r="E333" s="20" t="s">
        <v>1289</v>
      </c>
    </row>
    <row r="334" spans="1:5" ht="12.75">
      <c r="A334" s="16" t="s">
        <v>1083</v>
      </c>
      <c r="B334" s="4" t="s">
        <v>633</v>
      </c>
      <c r="C334" s="4" t="s">
        <v>662</v>
      </c>
      <c r="D334" s="4" t="s">
        <v>59</v>
      </c>
      <c r="E334" s="20" t="s">
        <v>1290</v>
      </c>
    </row>
    <row r="335" spans="1:5" ht="12.75">
      <c r="A335" s="16" t="s">
        <v>1015</v>
      </c>
      <c r="B335" s="4" t="s">
        <v>633</v>
      </c>
      <c r="C335" s="4" t="s">
        <v>638</v>
      </c>
      <c r="D335" s="4" t="s">
        <v>109</v>
      </c>
      <c r="E335" s="20" t="s">
        <v>1291</v>
      </c>
    </row>
    <row r="336" spans="1:5" ht="12.75">
      <c r="A336" s="16" t="s">
        <v>1036</v>
      </c>
      <c r="B336" s="4" t="s">
        <v>633</v>
      </c>
      <c r="C336" s="4" t="s">
        <v>638</v>
      </c>
      <c r="D336" s="4" t="s">
        <v>109</v>
      </c>
      <c r="E336" s="20" t="s">
        <v>1292</v>
      </c>
    </row>
    <row r="337" spans="1:5" ht="12.75">
      <c r="A337" s="16" t="s">
        <v>1187</v>
      </c>
      <c r="B337" s="4" t="s">
        <v>633</v>
      </c>
      <c r="C337" s="4" t="s">
        <v>665</v>
      </c>
      <c r="D337" s="4" t="s">
        <v>301</v>
      </c>
      <c r="E337" s="20" t="s">
        <v>1293</v>
      </c>
    </row>
    <row r="338" spans="1:5" ht="12.75">
      <c r="A338" s="16" t="s">
        <v>1137</v>
      </c>
      <c r="B338" s="4" t="s">
        <v>633</v>
      </c>
      <c r="C338" s="4" t="s">
        <v>649</v>
      </c>
      <c r="D338" s="4" t="s">
        <v>59</v>
      </c>
      <c r="E338" s="20" t="s">
        <v>1294</v>
      </c>
    </row>
  </sheetData>
  <sheetProtection/>
  <mergeCells count="28">
    <mergeCell ref="A46:L46"/>
    <mergeCell ref="A51:L51"/>
    <mergeCell ref="A201:L201"/>
    <mergeCell ref="A208:L208"/>
    <mergeCell ref="A67:L67"/>
    <mergeCell ref="A87:L87"/>
    <mergeCell ref="A112:L112"/>
    <mergeCell ref="A138:L138"/>
    <mergeCell ref="A163:L163"/>
    <mergeCell ref="A189:L189"/>
    <mergeCell ref="M3:M4"/>
    <mergeCell ref="A5:L5"/>
    <mergeCell ref="A10:L10"/>
    <mergeCell ref="A16:L16"/>
    <mergeCell ref="A23:L23"/>
    <mergeCell ref="A28:L28"/>
    <mergeCell ref="K3:K4"/>
    <mergeCell ref="L3:L4"/>
    <mergeCell ref="A39:L39"/>
    <mergeCell ref="A43:L43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4"/>
  <sheetViews>
    <sheetView zoomScale="96" zoomScaleNormal="96" zoomScalePageLayoutView="0" workbookViewId="0" topLeftCell="A1">
      <selection activeCell="A1" sqref="A1:M2"/>
    </sheetView>
  </sheetViews>
  <sheetFormatPr defaultColWidth="8.75390625" defaultRowHeight="12.75"/>
  <cols>
    <col min="1" max="1" width="26.75390625" style="4" customWidth="1"/>
    <col min="2" max="2" width="27.125" style="4" customWidth="1"/>
    <col min="3" max="3" width="15.625" style="4" customWidth="1"/>
    <col min="4" max="4" width="8.375" style="4" bestFit="1" customWidth="1"/>
    <col min="5" max="5" width="22.75390625" style="4" bestFit="1" customWidth="1"/>
    <col min="6" max="6" width="34.25390625" style="4" customWidth="1"/>
    <col min="7" max="10" width="5.625" style="4" bestFit="1" customWidth="1"/>
    <col min="11" max="11" width="7.875" style="4" bestFit="1" customWidth="1"/>
    <col min="12" max="12" width="8.625" style="4" bestFit="1" customWidth="1"/>
    <col min="13" max="13" width="21.375" style="4" customWidth="1"/>
  </cols>
  <sheetData>
    <row r="1" spans="1:13" s="1" customFormat="1" ht="15" customHeight="1">
      <c r="A1" s="102" t="s">
        <v>1525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1" customFormat="1" ht="123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2" customFormat="1" ht="12.75" customHeight="1">
      <c r="A3" s="108" t="s">
        <v>0</v>
      </c>
      <c r="B3" s="110" t="s">
        <v>1482</v>
      </c>
      <c r="C3" s="112" t="s">
        <v>1483</v>
      </c>
      <c r="D3" s="112" t="s">
        <v>8</v>
      </c>
      <c r="E3" s="112" t="s">
        <v>1490</v>
      </c>
      <c r="F3" s="112" t="s">
        <v>1491</v>
      </c>
      <c r="G3" s="112" t="s">
        <v>3</v>
      </c>
      <c r="H3" s="112"/>
      <c r="I3" s="112"/>
      <c r="J3" s="112"/>
      <c r="K3" s="112" t="s">
        <v>4</v>
      </c>
      <c r="L3" s="112" t="s">
        <v>6</v>
      </c>
      <c r="M3" s="113" t="s">
        <v>5</v>
      </c>
    </row>
    <row r="4" spans="1:13" s="2" customFormat="1" ht="21" customHeight="1" thickBot="1">
      <c r="A4" s="109"/>
      <c r="B4" s="111"/>
      <c r="C4" s="111"/>
      <c r="D4" s="111"/>
      <c r="E4" s="111"/>
      <c r="F4" s="111"/>
      <c r="G4" s="3">
        <v>1</v>
      </c>
      <c r="H4" s="3">
        <v>2</v>
      </c>
      <c r="I4" s="3">
        <v>3</v>
      </c>
      <c r="J4" s="3" t="s">
        <v>7</v>
      </c>
      <c r="K4" s="111"/>
      <c r="L4" s="111"/>
      <c r="M4" s="114"/>
    </row>
    <row r="5" spans="1:12" ht="15">
      <c r="A5" s="115" t="s">
        <v>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3" ht="12.75">
      <c r="A6" s="5" t="s">
        <v>1295</v>
      </c>
      <c r="B6" s="5" t="s">
        <v>125</v>
      </c>
      <c r="C6" s="5" t="s">
        <v>1296</v>
      </c>
      <c r="D6" s="5" t="str">
        <f>"1,4936"</f>
        <v>1,4936</v>
      </c>
      <c r="E6" s="5" t="s">
        <v>1571</v>
      </c>
      <c r="F6" s="5" t="s">
        <v>812</v>
      </c>
      <c r="G6" s="5" t="s">
        <v>24</v>
      </c>
      <c r="H6" s="6" t="s">
        <v>25</v>
      </c>
      <c r="I6" s="6" t="s">
        <v>25</v>
      </c>
      <c r="J6" s="6"/>
      <c r="K6" s="5">
        <v>120</v>
      </c>
      <c r="L6" s="5" t="str">
        <f>"179,2320"</f>
        <v>179,2320</v>
      </c>
      <c r="M6" s="5" t="s">
        <v>1549</v>
      </c>
    </row>
    <row r="8" spans="1:12" ht="15">
      <c r="A8" s="116" t="s">
        <v>148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3" ht="12.75">
      <c r="A9" s="5" t="s">
        <v>155</v>
      </c>
      <c r="B9" s="5" t="s">
        <v>156</v>
      </c>
      <c r="C9" s="5" t="s">
        <v>157</v>
      </c>
      <c r="D9" s="5" t="str">
        <f>"1,3594"</f>
        <v>1,3594</v>
      </c>
      <c r="E9" s="5" t="s">
        <v>1484</v>
      </c>
      <c r="F9" s="5"/>
      <c r="G9" s="5" t="s">
        <v>18</v>
      </c>
      <c r="H9" s="6"/>
      <c r="I9" s="6"/>
      <c r="J9" s="6"/>
      <c r="K9" s="5">
        <v>115</v>
      </c>
      <c r="L9" s="5" t="str">
        <f>"156,3310"</f>
        <v>156,3310</v>
      </c>
      <c r="M9" s="5" t="s">
        <v>1574</v>
      </c>
    </row>
    <row r="11" spans="1:12" ht="15">
      <c r="A11" s="116" t="s">
        <v>14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3" ht="12.75">
      <c r="A12" s="7" t="s">
        <v>166</v>
      </c>
      <c r="B12" s="7" t="s">
        <v>167</v>
      </c>
      <c r="C12" s="7" t="s">
        <v>15</v>
      </c>
      <c r="D12" s="7" t="str">
        <f>"1,2730"</f>
        <v>1,2730</v>
      </c>
      <c r="E12" s="7" t="s">
        <v>1571</v>
      </c>
      <c r="F12" s="7" t="s">
        <v>1501</v>
      </c>
      <c r="G12" s="7" t="s">
        <v>169</v>
      </c>
      <c r="H12" s="8"/>
      <c r="I12" s="8"/>
      <c r="J12" s="8"/>
      <c r="K12" s="7">
        <v>117.5</v>
      </c>
      <c r="L12" s="7" t="str">
        <f>"149,5775"</f>
        <v>149,5775</v>
      </c>
      <c r="M12" s="7" t="s">
        <v>1512</v>
      </c>
    </row>
    <row r="13" spans="1:13" ht="12.75">
      <c r="A13" s="9" t="s">
        <v>1297</v>
      </c>
      <c r="B13" s="9" t="s">
        <v>1298</v>
      </c>
      <c r="C13" s="9" t="s">
        <v>1299</v>
      </c>
      <c r="D13" s="9" t="str">
        <f>"1,2673"</f>
        <v>1,2673</v>
      </c>
      <c r="E13" s="9" t="s">
        <v>16</v>
      </c>
      <c r="F13" s="9" t="s">
        <v>1492</v>
      </c>
      <c r="G13" s="9" t="s">
        <v>285</v>
      </c>
      <c r="H13" s="9" t="s">
        <v>110</v>
      </c>
      <c r="I13" s="9" t="s">
        <v>268</v>
      </c>
      <c r="J13" s="10"/>
      <c r="K13" s="9">
        <v>107.5</v>
      </c>
      <c r="L13" s="9" t="str">
        <f>"136,2348"</f>
        <v>136,2348</v>
      </c>
      <c r="M13" s="11" t="s">
        <v>1575</v>
      </c>
    </row>
    <row r="15" spans="1:12" ht="15">
      <c r="A15" s="116" t="s">
        <v>21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3" ht="12.75">
      <c r="A16" s="7" t="s">
        <v>776</v>
      </c>
      <c r="B16" s="7" t="s">
        <v>777</v>
      </c>
      <c r="C16" s="7" t="s">
        <v>778</v>
      </c>
      <c r="D16" s="7" t="str">
        <f>"1,2071"</f>
        <v>1,2071</v>
      </c>
      <c r="E16" s="7" t="s">
        <v>16</v>
      </c>
      <c r="F16" s="7" t="s">
        <v>779</v>
      </c>
      <c r="G16" s="7" t="s">
        <v>20</v>
      </c>
      <c r="H16" s="7" t="s">
        <v>18</v>
      </c>
      <c r="I16" s="7" t="s">
        <v>24</v>
      </c>
      <c r="J16" s="8"/>
      <c r="K16" s="7">
        <v>120</v>
      </c>
      <c r="L16" s="7" t="str">
        <f>"144,8520"</f>
        <v>144,8520</v>
      </c>
      <c r="M16" s="7" t="s">
        <v>782</v>
      </c>
    </row>
    <row r="17" spans="1:13" ht="12.75">
      <c r="A17" s="9" t="s">
        <v>176</v>
      </c>
      <c r="B17" s="9" t="s">
        <v>177</v>
      </c>
      <c r="C17" s="9" t="s">
        <v>178</v>
      </c>
      <c r="D17" s="9" t="str">
        <f>"1,1883"</f>
        <v>1,1883</v>
      </c>
      <c r="E17" s="9" t="s">
        <v>16</v>
      </c>
      <c r="F17" s="9" t="s">
        <v>179</v>
      </c>
      <c r="G17" s="9" t="s">
        <v>180</v>
      </c>
      <c r="H17" s="9" t="s">
        <v>17</v>
      </c>
      <c r="I17" s="9" t="s">
        <v>110</v>
      </c>
      <c r="J17" s="10"/>
      <c r="K17" s="9">
        <v>105</v>
      </c>
      <c r="L17" s="9" t="str">
        <f>"124,7715"</f>
        <v>124,7715</v>
      </c>
      <c r="M17" s="9" t="s">
        <v>181</v>
      </c>
    </row>
    <row r="18" spans="1:13" ht="12.75">
      <c r="A18" s="9" t="s">
        <v>186</v>
      </c>
      <c r="B18" s="9" t="s">
        <v>187</v>
      </c>
      <c r="C18" s="9" t="s">
        <v>188</v>
      </c>
      <c r="D18" s="9" t="str">
        <f>"1,1900"</f>
        <v>1,1900</v>
      </c>
      <c r="E18" s="9" t="s">
        <v>16</v>
      </c>
      <c r="F18" s="9" t="s">
        <v>47</v>
      </c>
      <c r="G18" s="9" t="s">
        <v>189</v>
      </c>
      <c r="H18" s="10"/>
      <c r="I18" s="10"/>
      <c r="J18" s="10"/>
      <c r="K18" s="9">
        <v>147.5</v>
      </c>
      <c r="L18" s="9" t="str">
        <f>"175,5250"</f>
        <v>175,5250</v>
      </c>
      <c r="M18" s="9" t="s">
        <v>190</v>
      </c>
    </row>
    <row r="19" spans="1:13" ht="12.75">
      <c r="A19" s="9" t="s">
        <v>1301</v>
      </c>
      <c r="B19" s="9" t="s">
        <v>1302</v>
      </c>
      <c r="C19" s="9" t="s">
        <v>1303</v>
      </c>
      <c r="D19" s="9" t="str">
        <f>"1,1916"</f>
        <v>1,1916</v>
      </c>
      <c r="E19" s="9" t="s">
        <v>16</v>
      </c>
      <c r="F19" s="9" t="s">
        <v>64</v>
      </c>
      <c r="G19" s="9" t="s">
        <v>169</v>
      </c>
      <c r="H19" s="9" t="s">
        <v>225</v>
      </c>
      <c r="I19" s="10" t="s">
        <v>216</v>
      </c>
      <c r="J19" s="10"/>
      <c r="K19" s="9">
        <v>122.5</v>
      </c>
      <c r="L19" s="9" t="str">
        <f>"145,9710"</f>
        <v>145,9710</v>
      </c>
      <c r="M19" s="9" t="s">
        <v>69</v>
      </c>
    </row>
    <row r="20" spans="1:13" ht="12.75">
      <c r="A20" s="9" t="s">
        <v>191</v>
      </c>
      <c r="B20" s="9" t="s">
        <v>192</v>
      </c>
      <c r="C20" s="9" t="s">
        <v>188</v>
      </c>
      <c r="D20" s="9" t="str">
        <f>"1,1900"</f>
        <v>1,1900</v>
      </c>
      <c r="E20" s="9" t="s">
        <v>1484</v>
      </c>
      <c r="F20" s="9" t="s">
        <v>1572</v>
      </c>
      <c r="G20" s="9" t="s">
        <v>20</v>
      </c>
      <c r="H20" s="9" t="s">
        <v>18</v>
      </c>
      <c r="I20" s="10" t="s">
        <v>225</v>
      </c>
      <c r="J20" s="10"/>
      <c r="K20" s="9">
        <v>115</v>
      </c>
      <c r="L20" s="9" t="str">
        <f>"136,8500"</f>
        <v>136,8500</v>
      </c>
      <c r="M20" s="9" t="s">
        <v>194</v>
      </c>
    </row>
    <row r="21" spans="1:13" ht="12.75">
      <c r="A21" s="11" t="s">
        <v>191</v>
      </c>
      <c r="B21" s="11" t="s">
        <v>192</v>
      </c>
      <c r="C21" s="11" t="s">
        <v>188</v>
      </c>
      <c r="D21" s="11" t="str">
        <f>"1,1900"</f>
        <v>1,1900</v>
      </c>
      <c r="E21" s="11" t="s">
        <v>1484</v>
      </c>
      <c r="F21" s="11" t="s">
        <v>1572</v>
      </c>
      <c r="G21" s="11" t="s">
        <v>20</v>
      </c>
      <c r="H21" s="11" t="s">
        <v>18</v>
      </c>
      <c r="I21" s="12" t="s">
        <v>225</v>
      </c>
      <c r="J21" s="12"/>
      <c r="K21" s="11">
        <v>115</v>
      </c>
      <c r="L21" s="11" t="str">
        <f>"136,8500"</f>
        <v>136,8500</v>
      </c>
      <c r="M21" s="11" t="s">
        <v>194</v>
      </c>
    </row>
    <row r="23" spans="1:12" ht="15">
      <c r="A23" s="116" t="s">
        <v>28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3" ht="12.75">
      <c r="A24" s="7" t="s">
        <v>1304</v>
      </c>
      <c r="B24" s="7" t="s">
        <v>1305</v>
      </c>
      <c r="C24" s="7" t="s">
        <v>203</v>
      </c>
      <c r="D24" s="7" t="str">
        <f>"1,1295"</f>
        <v>1,1295</v>
      </c>
      <c r="E24" s="7" t="s">
        <v>1571</v>
      </c>
      <c r="F24" s="7" t="s">
        <v>335</v>
      </c>
      <c r="G24" s="8" t="s">
        <v>18</v>
      </c>
      <c r="H24" s="7" t="s">
        <v>24</v>
      </c>
      <c r="I24" s="8" t="s">
        <v>216</v>
      </c>
      <c r="J24" s="8"/>
      <c r="K24" s="7">
        <v>120</v>
      </c>
      <c r="L24" s="7" t="str">
        <f>"135,5400"</f>
        <v>135,5400</v>
      </c>
      <c r="M24" s="7" t="s">
        <v>1306</v>
      </c>
    </row>
    <row r="25" spans="1:13" ht="12.75">
      <c r="A25" s="9" t="s">
        <v>1307</v>
      </c>
      <c r="B25" s="9" t="s">
        <v>1308</v>
      </c>
      <c r="C25" s="9" t="s">
        <v>198</v>
      </c>
      <c r="D25" s="9" t="str">
        <f>"1,1163"</f>
        <v>1,1163</v>
      </c>
      <c r="E25" s="9" t="s">
        <v>1571</v>
      </c>
      <c r="F25" s="9" t="s">
        <v>329</v>
      </c>
      <c r="G25" s="10" t="s">
        <v>17</v>
      </c>
      <c r="H25" s="10"/>
      <c r="I25" s="10"/>
      <c r="J25" s="10"/>
      <c r="K25" s="9">
        <v>0</v>
      </c>
      <c r="L25" s="9" t="str">
        <f>"0,0000"</f>
        <v>0,0000</v>
      </c>
      <c r="M25" s="9" t="s">
        <v>27</v>
      </c>
    </row>
    <row r="26" spans="1:13" ht="12.75">
      <c r="A26" s="9" t="s">
        <v>201</v>
      </c>
      <c r="B26" s="9" t="s">
        <v>202</v>
      </c>
      <c r="C26" s="9" t="s">
        <v>203</v>
      </c>
      <c r="D26" s="9" t="str">
        <f>"1,1295"</f>
        <v>1,1295</v>
      </c>
      <c r="E26" s="9" t="s">
        <v>1571</v>
      </c>
      <c r="F26" s="9" t="s">
        <v>1501</v>
      </c>
      <c r="G26" s="9" t="s">
        <v>31</v>
      </c>
      <c r="H26" s="10"/>
      <c r="I26" s="10"/>
      <c r="J26" s="10"/>
      <c r="K26" s="9">
        <v>80</v>
      </c>
      <c r="L26" s="9" t="str">
        <f>"90,3600"</f>
        <v>90,3600</v>
      </c>
      <c r="M26" s="9" t="s">
        <v>204</v>
      </c>
    </row>
    <row r="27" spans="1:13" ht="12.75">
      <c r="A27" s="11" t="s">
        <v>212</v>
      </c>
      <c r="B27" s="11" t="s">
        <v>213</v>
      </c>
      <c r="C27" s="11" t="s">
        <v>203</v>
      </c>
      <c r="D27" s="11" t="str">
        <f>"1,1295"</f>
        <v>1,1295</v>
      </c>
      <c r="E27" s="11" t="s">
        <v>1571</v>
      </c>
      <c r="F27" s="11" t="s">
        <v>215</v>
      </c>
      <c r="G27" s="11" t="s">
        <v>216</v>
      </c>
      <c r="H27" s="12"/>
      <c r="I27" s="12"/>
      <c r="J27" s="12"/>
      <c r="K27" s="11">
        <v>127.5</v>
      </c>
      <c r="L27" s="11" t="str">
        <f>"144,0113"</f>
        <v>144,0113</v>
      </c>
      <c r="M27" s="11" t="s">
        <v>27</v>
      </c>
    </row>
    <row r="29" spans="1:12" ht="15">
      <c r="A29" s="116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3" ht="12.75">
      <c r="A30" s="7" t="s">
        <v>1309</v>
      </c>
      <c r="B30" s="7" t="s">
        <v>1310</v>
      </c>
      <c r="C30" s="7" t="s">
        <v>1311</v>
      </c>
      <c r="D30" s="7" t="str">
        <f>"1,0294"</f>
        <v>1,0294</v>
      </c>
      <c r="E30" s="7" t="s">
        <v>16</v>
      </c>
      <c r="F30" s="7" t="s">
        <v>1492</v>
      </c>
      <c r="G30" s="7" t="s">
        <v>17</v>
      </c>
      <c r="H30" s="7" t="s">
        <v>20</v>
      </c>
      <c r="I30" s="7" t="s">
        <v>169</v>
      </c>
      <c r="J30" s="8"/>
      <c r="K30" s="7">
        <v>117.5</v>
      </c>
      <c r="L30" s="7" t="str">
        <f>"120,9545"</f>
        <v>120,9545</v>
      </c>
      <c r="M30" s="7" t="s">
        <v>27</v>
      </c>
    </row>
    <row r="31" spans="1:13" ht="12.75">
      <c r="A31" s="9" t="s">
        <v>1307</v>
      </c>
      <c r="B31" s="9" t="s">
        <v>1308</v>
      </c>
      <c r="C31" s="9" t="s">
        <v>39</v>
      </c>
      <c r="D31" s="9" t="str">
        <f>"1,0206"</f>
        <v>1,0206</v>
      </c>
      <c r="E31" s="9" t="s">
        <v>1571</v>
      </c>
      <c r="F31" s="9" t="s">
        <v>329</v>
      </c>
      <c r="G31" s="10" t="s">
        <v>17</v>
      </c>
      <c r="H31" s="9" t="s">
        <v>110</v>
      </c>
      <c r="I31" s="9" t="s">
        <v>268</v>
      </c>
      <c r="J31" s="10"/>
      <c r="K31" s="9">
        <v>107.5</v>
      </c>
      <c r="L31" s="9" t="str">
        <f>"109,7145"</f>
        <v>109,7145</v>
      </c>
      <c r="M31" s="9" t="s">
        <v>27</v>
      </c>
    </row>
    <row r="32" spans="1:13" ht="12.75">
      <c r="A32" s="9" t="s">
        <v>1312</v>
      </c>
      <c r="B32" s="9" t="s">
        <v>1313</v>
      </c>
      <c r="C32" s="9" t="s">
        <v>1314</v>
      </c>
      <c r="D32" s="9" t="str">
        <f>"1,0339"</f>
        <v>1,0339</v>
      </c>
      <c r="E32" s="9" t="s">
        <v>16</v>
      </c>
      <c r="F32" s="9" t="s">
        <v>61</v>
      </c>
      <c r="G32" s="9" t="s">
        <v>308</v>
      </c>
      <c r="H32" s="9" t="s">
        <v>33</v>
      </c>
      <c r="I32" s="9" t="s">
        <v>130</v>
      </c>
      <c r="J32" s="10"/>
      <c r="K32" s="9">
        <v>142.5</v>
      </c>
      <c r="L32" s="9" t="str">
        <f>"147,3308"</f>
        <v>147,3308</v>
      </c>
      <c r="M32" s="9" t="s">
        <v>27</v>
      </c>
    </row>
    <row r="33" spans="1:13" ht="12.75">
      <c r="A33" s="9" t="s">
        <v>230</v>
      </c>
      <c r="B33" s="9" t="s">
        <v>231</v>
      </c>
      <c r="C33" s="9" t="s">
        <v>232</v>
      </c>
      <c r="D33" s="9" t="str">
        <f>"1,0455"</f>
        <v>1,0455</v>
      </c>
      <c r="E33" s="9" t="s">
        <v>10</v>
      </c>
      <c r="F33" s="9" t="s">
        <v>1529</v>
      </c>
      <c r="G33" s="9" t="s">
        <v>24</v>
      </c>
      <c r="H33" s="10"/>
      <c r="I33" s="10"/>
      <c r="J33" s="10"/>
      <c r="K33" s="9">
        <v>120</v>
      </c>
      <c r="L33" s="9" t="str">
        <f>"125,4600"</f>
        <v>125,4600</v>
      </c>
      <c r="M33" s="9" t="s">
        <v>220</v>
      </c>
    </row>
    <row r="34" spans="1:13" ht="12.75">
      <c r="A34" s="9" t="s">
        <v>1315</v>
      </c>
      <c r="B34" s="9" t="s">
        <v>1316</v>
      </c>
      <c r="C34" s="9" t="s">
        <v>1317</v>
      </c>
      <c r="D34" s="9" t="str">
        <f>"1,0362"</f>
        <v>1,0362</v>
      </c>
      <c r="E34" s="9" t="s">
        <v>1571</v>
      </c>
      <c r="F34" s="9" t="s">
        <v>335</v>
      </c>
      <c r="G34" s="9" t="s">
        <v>58</v>
      </c>
      <c r="H34" s="9" t="s">
        <v>33</v>
      </c>
      <c r="I34" s="9" t="s">
        <v>38</v>
      </c>
      <c r="J34" s="10"/>
      <c r="K34" s="9">
        <v>145</v>
      </c>
      <c r="L34" s="9" t="str">
        <f>"164,6729"</f>
        <v>164,6729</v>
      </c>
      <c r="M34" s="9" t="s">
        <v>1306</v>
      </c>
    </row>
    <row r="35" spans="1:13" ht="12.75">
      <c r="A35" s="11" t="s">
        <v>244</v>
      </c>
      <c r="B35" s="11" t="s">
        <v>245</v>
      </c>
      <c r="C35" s="11" t="s">
        <v>39</v>
      </c>
      <c r="D35" s="11" t="str">
        <f>"1,0206"</f>
        <v>1,0206</v>
      </c>
      <c r="E35" s="11" t="s">
        <v>1571</v>
      </c>
      <c r="F35" s="11" t="s">
        <v>820</v>
      </c>
      <c r="G35" s="12" t="s">
        <v>17</v>
      </c>
      <c r="H35" s="11" t="s">
        <v>20</v>
      </c>
      <c r="I35" s="11" t="s">
        <v>169</v>
      </c>
      <c r="J35" s="11" t="s">
        <v>169</v>
      </c>
      <c r="K35" s="11">
        <v>117.5</v>
      </c>
      <c r="L35" s="11" t="str">
        <f>"142,3456"</f>
        <v>142,3456</v>
      </c>
      <c r="M35" s="11" t="s">
        <v>247</v>
      </c>
    </row>
    <row r="37" spans="1:12" ht="15">
      <c r="A37" s="116" t="s">
        <v>40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3" ht="12.75">
      <c r="A38" s="7" t="s">
        <v>248</v>
      </c>
      <c r="B38" s="7" t="s">
        <v>249</v>
      </c>
      <c r="C38" s="7" t="s">
        <v>250</v>
      </c>
      <c r="D38" s="7" t="str">
        <f>"0,9604"</f>
        <v>0,9604</v>
      </c>
      <c r="E38" s="7" t="s">
        <v>1485</v>
      </c>
      <c r="F38" s="7" t="s">
        <v>1529</v>
      </c>
      <c r="G38" s="7" t="s">
        <v>30</v>
      </c>
      <c r="H38" s="8"/>
      <c r="I38" s="8"/>
      <c r="J38" s="8"/>
      <c r="K38" s="7">
        <v>125</v>
      </c>
      <c r="L38" s="7" t="str">
        <f>"120,0500"</f>
        <v>120,0500</v>
      </c>
      <c r="M38" s="7" t="s">
        <v>220</v>
      </c>
    </row>
    <row r="39" spans="1:13" ht="12.75">
      <c r="A39" s="11" t="s">
        <v>1318</v>
      </c>
      <c r="B39" s="11" t="s">
        <v>1319</v>
      </c>
      <c r="C39" s="11" t="s">
        <v>328</v>
      </c>
      <c r="D39" s="11" t="str">
        <f>"0,9579"</f>
        <v>0,9579</v>
      </c>
      <c r="E39" s="11" t="s">
        <v>16</v>
      </c>
      <c r="F39" s="11" t="s">
        <v>1492</v>
      </c>
      <c r="G39" s="11" t="s">
        <v>30</v>
      </c>
      <c r="H39" s="12" t="s">
        <v>58</v>
      </c>
      <c r="I39" s="11" t="s">
        <v>58</v>
      </c>
      <c r="J39" s="12"/>
      <c r="K39" s="11">
        <v>135</v>
      </c>
      <c r="L39" s="11" t="str">
        <f>"129,3165"</f>
        <v>129,3165</v>
      </c>
      <c r="M39" s="11" t="s">
        <v>1320</v>
      </c>
    </row>
    <row r="41" spans="1:12" ht="15">
      <c r="A41" s="116" t="s">
        <v>21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1:13" ht="12.75">
      <c r="A42" s="7" t="s">
        <v>260</v>
      </c>
      <c r="B42" s="7" t="s">
        <v>261</v>
      </c>
      <c r="C42" s="7" t="s">
        <v>22</v>
      </c>
      <c r="D42" s="7" t="str">
        <f>"0,9103"</f>
        <v>0,9103</v>
      </c>
      <c r="E42" s="7" t="s">
        <v>1571</v>
      </c>
      <c r="F42" s="7" t="s">
        <v>1538</v>
      </c>
      <c r="G42" s="7" t="s">
        <v>99</v>
      </c>
      <c r="H42" s="8"/>
      <c r="I42" s="8"/>
      <c r="J42" s="8"/>
      <c r="K42" s="7">
        <v>175</v>
      </c>
      <c r="L42" s="7" t="str">
        <f>"159,3025"</f>
        <v>159,3025</v>
      </c>
      <c r="M42" s="7" t="s">
        <v>263</v>
      </c>
    </row>
    <row r="43" spans="1:13" ht="12.75">
      <c r="A43" s="11" t="s">
        <v>260</v>
      </c>
      <c r="B43" s="11" t="s">
        <v>264</v>
      </c>
      <c r="C43" s="11" t="s">
        <v>22</v>
      </c>
      <c r="D43" s="11" t="str">
        <f>"0,9103"</f>
        <v>0,9103</v>
      </c>
      <c r="E43" s="11" t="s">
        <v>1571</v>
      </c>
      <c r="F43" s="11" t="s">
        <v>1538</v>
      </c>
      <c r="G43" s="11" t="s">
        <v>99</v>
      </c>
      <c r="H43" s="12"/>
      <c r="I43" s="12"/>
      <c r="J43" s="12"/>
      <c r="K43" s="11">
        <v>175</v>
      </c>
      <c r="L43" s="11" t="str">
        <f>"159,3025"</f>
        <v>159,3025</v>
      </c>
      <c r="M43" s="11" t="s">
        <v>263</v>
      </c>
    </row>
    <row r="45" spans="1:12" ht="15">
      <c r="A45" s="116" t="s">
        <v>32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3" ht="12.75">
      <c r="A46" s="7" t="s">
        <v>1321</v>
      </c>
      <c r="B46" s="7" t="s">
        <v>1322</v>
      </c>
      <c r="C46" s="7" t="s">
        <v>246</v>
      </c>
      <c r="D46" s="7" t="str">
        <f>"0,7719"</f>
        <v>0,7719</v>
      </c>
      <c r="E46" s="7" t="s">
        <v>1571</v>
      </c>
      <c r="F46" s="7" t="s">
        <v>812</v>
      </c>
      <c r="G46" s="7" t="s">
        <v>33</v>
      </c>
      <c r="H46" s="7" t="s">
        <v>35</v>
      </c>
      <c r="I46" s="8" t="s">
        <v>59</v>
      </c>
      <c r="J46" s="8"/>
      <c r="K46" s="7">
        <v>150</v>
      </c>
      <c r="L46" s="7" t="str">
        <f>"115,7850"</f>
        <v>115,7850</v>
      </c>
      <c r="M46" s="7" t="s">
        <v>1327</v>
      </c>
    </row>
    <row r="47" spans="1:13" ht="12.75">
      <c r="A47" s="9" t="s">
        <v>289</v>
      </c>
      <c r="B47" s="9" t="s">
        <v>290</v>
      </c>
      <c r="C47" s="9" t="s">
        <v>291</v>
      </c>
      <c r="D47" s="9" t="str">
        <f>"0,8317"</f>
        <v>0,8317</v>
      </c>
      <c r="E47" s="9" t="s">
        <v>23</v>
      </c>
      <c r="F47" s="9" t="s">
        <v>1529</v>
      </c>
      <c r="G47" s="9" t="s">
        <v>68</v>
      </c>
      <c r="H47" s="10"/>
      <c r="I47" s="10"/>
      <c r="J47" s="10"/>
      <c r="K47" s="9">
        <v>235</v>
      </c>
      <c r="L47" s="9" t="str">
        <f>"195,4495"</f>
        <v>195,4495</v>
      </c>
      <c r="M47" s="9" t="s">
        <v>293</v>
      </c>
    </row>
    <row r="48" spans="1:13" ht="12.75">
      <c r="A48" s="9" t="s">
        <v>1323</v>
      </c>
      <c r="B48" s="9" t="s">
        <v>1324</v>
      </c>
      <c r="C48" s="9" t="s">
        <v>34</v>
      </c>
      <c r="D48" s="9" t="str">
        <f>"0,7775"</f>
        <v>0,7775</v>
      </c>
      <c r="E48" s="9" t="s">
        <v>1571</v>
      </c>
      <c r="F48" s="9" t="s">
        <v>1325</v>
      </c>
      <c r="G48" s="9" t="s">
        <v>88</v>
      </c>
      <c r="H48" s="10" t="s">
        <v>113</v>
      </c>
      <c r="I48" s="10" t="s">
        <v>113</v>
      </c>
      <c r="J48" s="10"/>
      <c r="K48" s="9">
        <v>215</v>
      </c>
      <c r="L48" s="9" t="str">
        <f>"167,1625"</f>
        <v>167,1625</v>
      </c>
      <c r="M48" s="9" t="s">
        <v>1326</v>
      </c>
    </row>
    <row r="49" spans="1:13" ht="12.75">
      <c r="A49" s="11" t="s">
        <v>1327</v>
      </c>
      <c r="B49" s="11" t="s">
        <v>1328</v>
      </c>
      <c r="C49" s="11" t="s">
        <v>1329</v>
      </c>
      <c r="D49" s="11" t="str">
        <f>"0,7881"</f>
        <v>0,7881</v>
      </c>
      <c r="E49" s="11" t="s">
        <v>1571</v>
      </c>
      <c r="F49" s="11" t="s">
        <v>812</v>
      </c>
      <c r="G49" s="11" t="s">
        <v>307</v>
      </c>
      <c r="H49" s="11" t="s">
        <v>113</v>
      </c>
      <c r="I49" s="11" t="s">
        <v>74</v>
      </c>
      <c r="J49" s="12"/>
      <c r="K49" s="11">
        <v>230</v>
      </c>
      <c r="L49" s="11" t="str">
        <f>"211,7152"</f>
        <v>211,7152</v>
      </c>
      <c r="M49" s="11" t="s">
        <v>27</v>
      </c>
    </row>
    <row r="51" spans="1:12" ht="15">
      <c r="A51" s="116" t="s">
        <v>40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52" spans="1:13" ht="12.75">
      <c r="A52" s="7" t="s">
        <v>1330</v>
      </c>
      <c r="B52" s="7" t="s">
        <v>1331</v>
      </c>
      <c r="C52" s="7" t="s">
        <v>1332</v>
      </c>
      <c r="D52" s="7" t="str">
        <f>"0,7352"</f>
        <v>0,7352</v>
      </c>
      <c r="E52" s="7" t="s">
        <v>1571</v>
      </c>
      <c r="F52" s="7" t="s">
        <v>1333</v>
      </c>
      <c r="G52" s="7" t="s">
        <v>399</v>
      </c>
      <c r="H52" s="7" t="s">
        <v>536</v>
      </c>
      <c r="I52" s="7" t="s">
        <v>283</v>
      </c>
      <c r="J52" s="8"/>
      <c r="K52" s="7">
        <v>195</v>
      </c>
      <c r="L52" s="7" t="str">
        <f>"143,3640"</f>
        <v>143,3640</v>
      </c>
      <c r="M52" s="7" t="s">
        <v>1576</v>
      </c>
    </row>
    <row r="53" spans="1:13" ht="12.75">
      <c r="A53" s="9" t="s">
        <v>310</v>
      </c>
      <c r="B53" s="9" t="s">
        <v>311</v>
      </c>
      <c r="C53" s="9" t="s">
        <v>312</v>
      </c>
      <c r="D53" s="9" t="str">
        <f>"0,7139"</f>
        <v>0,7139</v>
      </c>
      <c r="E53" s="9" t="s">
        <v>1571</v>
      </c>
      <c r="F53" s="9" t="s">
        <v>1505</v>
      </c>
      <c r="G53" s="9" t="s">
        <v>113</v>
      </c>
      <c r="H53" s="10"/>
      <c r="I53" s="10"/>
      <c r="J53" s="10"/>
      <c r="K53" s="9">
        <v>225</v>
      </c>
      <c r="L53" s="9" t="str">
        <f>"160,6275"</f>
        <v>160,6275</v>
      </c>
      <c r="M53" s="9" t="s">
        <v>27</v>
      </c>
    </row>
    <row r="54" spans="1:13" ht="12.75">
      <c r="A54" s="9" t="s">
        <v>1334</v>
      </c>
      <c r="B54" s="9" t="s">
        <v>1335</v>
      </c>
      <c r="C54" s="9" t="s">
        <v>306</v>
      </c>
      <c r="D54" s="9" t="str">
        <f>"0,7159"</f>
        <v>0,7159</v>
      </c>
      <c r="E54" s="9" t="s">
        <v>1571</v>
      </c>
      <c r="F54" s="9" t="s">
        <v>1081</v>
      </c>
      <c r="G54" s="9" t="s">
        <v>57</v>
      </c>
      <c r="H54" s="10" t="s">
        <v>68</v>
      </c>
      <c r="I54" s="10" t="s">
        <v>68</v>
      </c>
      <c r="J54" s="10"/>
      <c r="K54" s="9">
        <v>220</v>
      </c>
      <c r="L54" s="9" t="str">
        <f>"157,4980"</f>
        <v>157,4980</v>
      </c>
      <c r="M54" s="9" t="s">
        <v>27</v>
      </c>
    </row>
    <row r="55" spans="1:13" ht="12.75">
      <c r="A55" s="9" t="s">
        <v>1336</v>
      </c>
      <c r="B55" s="9" t="s">
        <v>1337</v>
      </c>
      <c r="C55" s="9" t="s">
        <v>915</v>
      </c>
      <c r="D55" s="9" t="str">
        <f>"0,7166"</f>
        <v>0,7166</v>
      </c>
      <c r="E55" s="9" t="s">
        <v>1484</v>
      </c>
      <c r="F55" s="9" t="s">
        <v>1573</v>
      </c>
      <c r="G55" s="9" t="s">
        <v>56</v>
      </c>
      <c r="H55" s="9" t="s">
        <v>57</v>
      </c>
      <c r="I55" s="10" t="s">
        <v>113</v>
      </c>
      <c r="J55" s="10"/>
      <c r="K55" s="9">
        <v>220</v>
      </c>
      <c r="L55" s="9" t="str">
        <f>"157,6520"</f>
        <v>157,6520</v>
      </c>
      <c r="M55" s="9" t="s">
        <v>27</v>
      </c>
    </row>
    <row r="56" spans="1:13" ht="12.75">
      <c r="A56" s="9" t="s">
        <v>1338</v>
      </c>
      <c r="B56" s="9" t="s">
        <v>501</v>
      </c>
      <c r="C56" s="9" t="s">
        <v>324</v>
      </c>
      <c r="D56" s="9" t="str">
        <f>"0,7307"</f>
        <v>0,7307</v>
      </c>
      <c r="E56" s="9" t="s">
        <v>1571</v>
      </c>
      <c r="F56" s="9" t="s">
        <v>41</v>
      </c>
      <c r="G56" s="9" t="s">
        <v>57</v>
      </c>
      <c r="H56" s="9" t="s">
        <v>68</v>
      </c>
      <c r="I56" s="9" t="s">
        <v>313</v>
      </c>
      <c r="J56" s="10"/>
      <c r="K56" s="9">
        <v>242.5</v>
      </c>
      <c r="L56" s="9" t="str">
        <f>"210,3302"</f>
        <v>210,3302</v>
      </c>
      <c r="M56" s="9" t="s">
        <v>27</v>
      </c>
    </row>
    <row r="57" spans="1:13" ht="12.75">
      <c r="A57" s="11" t="s">
        <v>322</v>
      </c>
      <c r="B57" s="11" t="s">
        <v>323</v>
      </c>
      <c r="C57" s="11" t="s">
        <v>324</v>
      </c>
      <c r="D57" s="11" t="str">
        <f>"0,7307"</f>
        <v>0,7307</v>
      </c>
      <c r="E57" s="11" t="s">
        <v>16</v>
      </c>
      <c r="F57" s="11" t="s">
        <v>325</v>
      </c>
      <c r="G57" s="11" t="s">
        <v>56</v>
      </c>
      <c r="H57" s="12"/>
      <c r="I57" s="12"/>
      <c r="J57" s="12"/>
      <c r="K57" s="11">
        <v>210</v>
      </c>
      <c r="L57" s="11" t="str">
        <f>"207,1535"</f>
        <v>207,1535</v>
      </c>
      <c r="M57" s="11" t="s">
        <v>27</v>
      </c>
    </row>
    <row r="59" spans="1:12" ht="15">
      <c r="A59" s="116" t="s">
        <v>46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1:13" ht="12.75">
      <c r="A60" s="7" t="s">
        <v>1339</v>
      </c>
      <c r="B60" s="7" t="s">
        <v>1340</v>
      </c>
      <c r="C60" s="7" t="s">
        <v>1341</v>
      </c>
      <c r="D60" s="7" t="str">
        <f>"0,6939"</f>
        <v>0,6939</v>
      </c>
      <c r="E60" s="7" t="s">
        <v>1571</v>
      </c>
      <c r="F60" s="7" t="s">
        <v>1492</v>
      </c>
      <c r="G60" s="7" t="s">
        <v>283</v>
      </c>
      <c r="H60" s="8" t="s">
        <v>49</v>
      </c>
      <c r="I60" s="8" t="s">
        <v>49</v>
      </c>
      <c r="J60" s="8"/>
      <c r="K60" s="7">
        <v>195</v>
      </c>
      <c r="L60" s="7" t="str">
        <f>"135,3105"</f>
        <v>135,3105</v>
      </c>
      <c r="M60" s="7" t="s">
        <v>1579</v>
      </c>
    </row>
    <row r="61" spans="1:13" ht="12.75">
      <c r="A61" s="9" t="s">
        <v>1342</v>
      </c>
      <c r="B61" s="9" t="s">
        <v>1343</v>
      </c>
      <c r="C61" s="9" t="s">
        <v>1344</v>
      </c>
      <c r="D61" s="9" t="str">
        <f>"0,6800"</f>
        <v>0,6800</v>
      </c>
      <c r="E61" s="9" t="s">
        <v>1571</v>
      </c>
      <c r="F61" s="9" t="s">
        <v>1345</v>
      </c>
      <c r="G61" s="9" t="s">
        <v>49</v>
      </c>
      <c r="H61" s="9" t="s">
        <v>88</v>
      </c>
      <c r="I61" s="9" t="s">
        <v>113</v>
      </c>
      <c r="J61" s="10"/>
      <c r="K61" s="9">
        <v>225</v>
      </c>
      <c r="L61" s="9" t="str">
        <f>"153,0000"</f>
        <v>153,0000</v>
      </c>
      <c r="M61" s="9" t="s">
        <v>27</v>
      </c>
    </row>
    <row r="62" spans="1:13" ht="12.75">
      <c r="A62" s="9" t="s">
        <v>338</v>
      </c>
      <c r="B62" s="9" t="s">
        <v>339</v>
      </c>
      <c r="C62" s="9" t="s">
        <v>75</v>
      </c>
      <c r="D62" s="9" t="str">
        <f>"0,6709"</f>
        <v>0,6709</v>
      </c>
      <c r="E62" s="9" t="s">
        <v>340</v>
      </c>
      <c r="F62" s="9" t="s">
        <v>341</v>
      </c>
      <c r="G62" s="9" t="s">
        <v>342</v>
      </c>
      <c r="H62" s="10"/>
      <c r="I62" s="10"/>
      <c r="J62" s="10"/>
      <c r="K62" s="9">
        <v>192.5</v>
      </c>
      <c r="L62" s="9" t="str">
        <f>"129,1482"</f>
        <v>129,1482</v>
      </c>
      <c r="M62" s="9" t="s">
        <v>343</v>
      </c>
    </row>
    <row r="63" spans="1:13" ht="12.75">
      <c r="A63" s="9" t="s">
        <v>1346</v>
      </c>
      <c r="B63" s="9" t="s">
        <v>1347</v>
      </c>
      <c r="C63" s="9" t="s">
        <v>60</v>
      </c>
      <c r="D63" s="9" t="str">
        <f>"0,6699"</f>
        <v>0,6699</v>
      </c>
      <c r="E63" s="9" t="s">
        <v>1571</v>
      </c>
      <c r="F63" s="9" t="s">
        <v>1348</v>
      </c>
      <c r="G63" s="9" t="s">
        <v>77</v>
      </c>
      <c r="H63" s="9" t="s">
        <v>73</v>
      </c>
      <c r="I63" s="9" t="s">
        <v>83</v>
      </c>
      <c r="J63" s="10"/>
      <c r="K63" s="9">
        <v>280</v>
      </c>
      <c r="L63" s="9" t="str">
        <f>"187,5720"</f>
        <v>187,5720</v>
      </c>
      <c r="M63" s="9" t="s">
        <v>27</v>
      </c>
    </row>
    <row r="64" spans="1:13" ht="12.75">
      <c r="A64" s="9" t="s">
        <v>353</v>
      </c>
      <c r="B64" s="9" t="s">
        <v>354</v>
      </c>
      <c r="C64" s="9" t="s">
        <v>355</v>
      </c>
      <c r="D64" s="9" t="str">
        <f>"0,6876"</f>
        <v>0,6876</v>
      </c>
      <c r="E64" s="9" t="s">
        <v>1571</v>
      </c>
      <c r="F64" s="9" t="s">
        <v>356</v>
      </c>
      <c r="G64" s="9" t="s">
        <v>77</v>
      </c>
      <c r="H64" s="10"/>
      <c r="I64" s="10"/>
      <c r="J64" s="10"/>
      <c r="K64" s="9">
        <v>260</v>
      </c>
      <c r="L64" s="9" t="str">
        <f>"178,7760"</f>
        <v>178,7760</v>
      </c>
      <c r="M64" s="9" t="s">
        <v>27</v>
      </c>
    </row>
    <row r="65" spans="1:13" ht="12.75">
      <c r="A65" s="9" t="s">
        <v>1349</v>
      </c>
      <c r="B65" s="9" t="s">
        <v>1350</v>
      </c>
      <c r="C65" s="9" t="s">
        <v>1351</v>
      </c>
      <c r="D65" s="9" t="str">
        <f>"0,6933"</f>
        <v>0,6933</v>
      </c>
      <c r="E65" s="9" t="s">
        <v>1571</v>
      </c>
      <c r="F65" s="9" t="s">
        <v>47</v>
      </c>
      <c r="G65" s="9" t="s">
        <v>79</v>
      </c>
      <c r="H65" s="9" t="s">
        <v>451</v>
      </c>
      <c r="I65" s="10" t="s">
        <v>77</v>
      </c>
      <c r="J65" s="10"/>
      <c r="K65" s="9">
        <v>257.5</v>
      </c>
      <c r="L65" s="9" t="str">
        <f>"178,5248"</f>
        <v>178,5248</v>
      </c>
      <c r="M65" s="9" t="s">
        <v>1577</v>
      </c>
    </row>
    <row r="66" spans="1:13" ht="12.75">
      <c r="A66" s="9" t="s">
        <v>1352</v>
      </c>
      <c r="B66" s="9" t="s">
        <v>1353</v>
      </c>
      <c r="C66" s="9" t="s">
        <v>81</v>
      </c>
      <c r="D66" s="9" t="str">
        <f>"0,6749"</f>
        <v>0,6749</v>
      </c>
      <c r="E66" s="9" t="s">
        <v>1571</v>
      </c>
      <c r="F66" s="9" t="s">
        <v>1354</v>
      </c>
      <c r="G66" s="10" t="s">
        <v>79</v>
      </c>
      <c r="H66" s="9" t="s">
        <v>72</v>
      </c>
      <c r="I66" s="10" t="s">
        <v>77</v>
      </c>
      <c r="J66" s="10"/>
      <c r="K66" s="9">
        <v>255</v>
      </c>
      <c r="L66" s="9" t="str">
        <f>"172,0995"</f>
        <v>172,0995</v>
      </c>
      <c r="M66" s="9" t="s">
        <v>27</v>
      </c>
    </row>
    <row r="67" spans="1:13" ht="12.75">
      <c r="A67" s="9" t="s">
        <v>1355</v>
      </c>
      <c r="B67" s="9" t="s">
        <v>1356</v>
      </c>
      <c r="C67" s="9" t="s">
        <v>925</v>
      </c>
      <c r="D67" s="9" t="str">
        <f>"0,6945"</f>
        <v>0,6945</v>
      </c>
      <c r="E67" s="9" t="s">
        <v>1571</v>
      </c>
      <c r="F67" s="9" t="s">
        <v>316</v>
      </c>
      <c r="G67" s="9" t="s">
        <v>74</v>
      </c>
      <c r="H67" s="10" t="s">
        <v>72</v>
      </c>
      <c r="I67" s="10" t="s">
        <v>72</v>
      </c>
      <c r="J67" s="10"/>
      <c r="K67" s="9">
        <v>230</v>
      </c>
      <c r="L67" s="9" t="str">
        <f>"159,7350"</f>
        <v>159,7350</v>
      </c>
      <c r="M67" s="9" t="s">
        <v>1578</v>
      </c>
    </row>
    <row r="68" spans="1:13" ht="12.75">
      <c r="A68" s="11" t="s">
        <v>1357</v>
      </c>
      <c r="B68" s="11" t="s">
        <v>1358</v>
      </c>
      <c r="C68" s="11" t="s">
        <v>89</v>
      </c>
      <c r="D68" s="11" t="str">
        <f>"0,6724"</f>
        <v>0,6724</v>
      </c>
      <c r="E68" s="11" t="s">
        <v>1571</v>
      </c>
      <c r="F68" s="11" t="s">
        <v>364</v>
      </c>
      <c r="G68" s="11" t="s">
        <v>56</v>
      </c>
      <c r="H68" s="11" t="s">
        <v>113</v>
      </c>
      <c r="I68" s="12"/>
      <c r="J68" s="12"/>
      <c r="K68" s="11">
        <v>225</v>
      </c>
      <c r="L68" s="11" t="str">
        <f>"208,7802"</f>
        <v>208,7802</v>
      </c>
      <c r="M68" s="11" t="s">
        <v>27</v>
      </c>
    </row>
    <row r="70" spans="1:12" ht="15">
      <c r="A70" s="116" t="s">
        <v>94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</row>
    <row r="71" spans="1:13" ht="12.75">
      <c r="A71" s="7" t="s">
        <v>985</v>
      </c>
      <c r="B71" s="7" t="s">
        <v>986</v>
      </c>
      <c r="C71" s="7" t="s">
        <v>987</v>
      </c>
      <c r="D71" s="7" t="str">
        <f>"0,6467"</f>
        <v>0,6467</v>
      </c>
      <c r="E71" s="7" t="s">
        <v>1571</v>
      </c>
      <c r="F71" s="7" t="s">
        <v>988</v>
      </c>
      <c r="G71" s="7" t="s">
        <v>33</v>
      </c>
      <c r="H71" s="7" t="s">
        <v>35</v>
      </c>
      <c r="I71" s="7" t="s">
        <v>59</v>
      </c>
      <c r="J71" s="8"/>
      <c r="K71" s="7">
        <v>160</v>
      </c>
      <c r="L71" s="7" t="str">
        <f>"103,4720"</f>
        <v>103,4720</v>
      </c>
      <c r="M71" s="7" t="s">
        <v>989</v>
      </c>
    </row>
    <row r="72" spans="1:13" ht="12.75">
      <c r="A72" s="9" t="s">
        <v>361</v>
      </c>
      <c r="B72" s="9" t="s">
        <v>362</v>
      </c>
      <c r="C72" s="9" t="s">
        <v>363</v>
      </c>
      <c r="D72" s="9" t="str">
        <f>"0,6410"</f>
        <v>0,6410</v>
      </c>
      <c r="E72" s="9" t="s">
        <v>1571</v>
      </c>
      <c r="F72" s="9" t="s">
        <v>364</v>
      </c>
      <c r="G72" s="9" t="s">
        <v>313</v>
      </c>
      <c r="H72" s="10"/>
      <c r="I72" s="10"/>
      <c r="J72" s="10"/>
      <c r="K72" s="9">
        <v>242.5</v>
      </c>
      <c r="L72" s="9" t="str">
        <f>"155,4425"</f>
        <v>155,4425</v>
      </c>
      <c r="M72" s="9" t="s">
        <v>365</v>
      </c>
    </row>
    <row r="73" spans="1:13" ht="12.75">
      <c r="A73" s="9" t="s">
        <v>377</v>
      </c>
      <c r="B73" s="9" t="s">
        <v>378</v>
      </c>
      <c r="C73" s="9" t="s">
        <v>379</v>
      </c>
      <c r="D73" s="9" t="str">
        <f>"0,6388"</f>
        <v>0,6388</v>
      </c>
      <c r="E73" s="9" t="s">
        <v>1571</v>
      </c>
      <c r="F73" s="9" t="s">
        <v>1492</v>
      </c>
      <c r="G73" s="9" t="s">
        <v>72</v>
      </c>
      <c r="H73" s="10"/>
      <c r="I73" s="10"/>
      <c r="J73" s="10"/>
      <c r="K73" s="9">
        <v>255</v>
      </c>
      <c r="L73" s="9" t="str">
        <f>"162,8940"</f>
        <v>162,8940</v>
      </c>
      <c r="M73" s="9" t="s">
        <v>380</v>
      </c>
    </row>
    <row r="74" spans="1:13" ht="12.75">
      <c r="A74" s="9" t="s">
        <v>1359</v>
      </c>
      <c r="B74" s="9" t="s">
        <v>1360</v>
      </c>
      <c r="C74" s="9" t="s">
        <v>1361</v>
      </c>
      <c r="D74" s="9" t="str">
        <f>"0,6557"</f>
        <v>0,6557</v>
      </c>
      <c r="E74" s="9" t="s">
        <v>1571</v>
      </c>
      <c r="F74" s="9" t="s">
        <v>364</v>
      </c>
      <c r="G74" s="9" t="s">
        <v>74</v>
      </c>
      <c r="H74" s="9" t="s">
        <v>313</v>
      </c>
      <c r="I74" s="10" t="s">
        <v>67</v>
      </c>
      <c r="J74" s="10"/>
      <c r="K74" s="9">
        <v>242.5</v>
      </c>
      <c r="L74" s="9" t="str">
        <f>"159,0073"</f>
        <v>159,0073</v>
      </c>
      <c r="M74" s="9" t="s">
        <v>27</v>
      </c>
    </row>
    <row r="75" spans="1:13" ht="12.75">
      <c r="A75" s="9" t="s">
        <v>1362</v>
      </c>
      <c r="B75" s="9" t="s">
        <v>1363</v>
      </c>
      <c r="C75" s="9" t="s">
        <v>1364</v>
      </c>
      <c r="D75" s="9" t="str">
        <f>"0,6606"</f>
        <v>0,6606</v>
      </c>
      <c r="E75" s="9" t="s">
        <v>1571</v>
      </c>
      <c r="F75" s="9" t="s">
        <v>812</v>
      </c>
      <c r="G75" s="9" t="s">
        <v>74</v>
      </c>
      <c r="H75" s="9" t="s">
        <v>65</v>
      </c>
      <c r="I75" s="10" t="s">
        <v>63</v>
      </c>
      <c r="J75" s="10"/>
      <c r="K75" s="9">
        <v>240</v>
      </c>
      <c r="L75" s="9" t="str">
        <f>"158,5440"</f>
        <v>158,5440</v>
      </c>
      <c r="M75" s="9" t="s">
        <v>1549</v>
      </c>
    </row>
    <row r="76" spans="1:13" ht="12.75">
      <c r="A76" s="9" t="s">
        <v>1365</v>
      </c>
      <c r="B76" s="9" t="s">
        <v>1366</v>
      </c>
      <c r="C76" s="9" t="s">
        <v>363</v>
      </c>
      <c r="D76" s="9" t="str">
        <f>"0,6410"</f>
        <v>0,6410</v>
      </c>
      <c r="E76" s="9" t="s">
        <v>1571</v>
      </c>
      <c r="F76" s="9" t="s">
        <v>1492</v>
      </c>
      <c r="G76" s="10" t="s">
        <v>106</v>
      </c>
      <c r="H76" s="9" t="s">
        <v>551</v>
      </c>
      <c r="I76" s="9" t="s">
        <v>1367</v>
      </c>
      <c r="J76" s="10"/>
      <c r="K76" s="9">
        <v>320</v>
      </c>
      <c r="L76" s="9" t="str">
        <f>"205,1200"</f>
        <v>205,1200</v>
      </c>
      <c r="M76" s="9" t="s">
        <v>27</v>
      </c>
    </row>
    <row r="77" spans="1:13" ht="12.75">
      <c r="A77" s="9" t="s">
        <v>1368</v>
      </c>
      <c r="B77" s="9" t="s">
        <v>1369</v>
      </c>
      <c r="C77" s="9" t="s">
        <v>1370</v>
      </c>
      <c r="D77" s="9" t="str">
        <f>"0,6549"</f>
        <v>0,6549</v>
      </c>
      <c r="E77" s="9" t="s">
        <v>1571</v>
      </c>
      <c r="F77" s="9" t="s">
        <v>1371</v>
      </c>
      <c r="G77" s="9" t="s">
        <v>73</v>
      </c>
      <c r="H77" s="9" t="s">
        <v>115</v>
      </c>
      <c r="I77" s="10" t="s">
        <v>551</v>
      </c>
      <c r="J77" s="10"/>
      <c r="K77" s="9">
        <v>290</v>
      </c>
      <c r="L77" s="9" t="str">
        <f>"189,9210"</f>
        <v>189,9210</v>
      </c>
      <c r="M77" s="9" t="s">
        <v>27</v>
      </c>
    </row>
    <row r="78" spans="1:13" ht="12.75">
      <c r="A78" s="9" t="s">
        <v>1372</v>
      </c>
      <c r="B78" s="9" t="s">
        <v>1373</v>
      </c>
      <c r="C78" s="9" t="s">
        <v>1374</v>
      </c>
      <c r="D78" s="9" t="str">
        <f>"0,6495"</f>
        <v>0,6495</v>
      </c>
      <c r="E78" s="9" t="s">
        <v>1571</v>
      </c>
      <c r="F78" s="9" t="s">
        <v>1492</v>
      </c>
      <c r="G78" s="10" t="s">
        <v>73</v>
      </c>
      <c r="H78" s="10" t="s">
        <v>73</v>
      </c>
      <c r="I78" s="9" t="s">
        <v>73</v>
      </c>
      <c r="J78" s="10"/>
      <c r="K78" s="9">
        <v>270</v>
      </c>
      <c r="L78" s="9" t="str">
        <f>"175,3650"</f>
        <v>175,3650</v>
      </c>
      <c r="M78" s="9" t="s">
        <v>1580</v>
      </c>
    </row>
    <row r="79" spans="1:13" ht="12.75">
      <c r="A79" s="9" t="s">
        <v>397</v>
      </c>
      <c r="B79" s="9" t="s">
        <v>398</v>
      </c>
      <c r="C79" s="9" t="s">
        <v>96</v>
      </c>
      <c r="D79" s="9" t="str">
        <f>"0,6421"</f>
        <v>0,6421</v>
      </c>
      <c r="E79" s="9" t="s">
        <v>1487</v>
      </c>
      <c r="F79" s="9" t="s">
        <v>341</v>
      </c>
      <c r="G79" s="10" t="s">
        <v>451</v>
      </c>
      <c r="H79" s="9" t="s">
        <v>451</v>
      </c>
      <c r="I79" s="10" t="s">
        <v>80</v>
      </c>
      <c r="J79" s="10"/>
      <c r="K79" s="9">
        <v>257.5</v>
      </c>
      <c r="L79" s="9" t="str">
        <f>"165,3407"</f>
        <v>165,3407</v>
      </c>
      <c r="M79" s="9" t="s">
        <v>27</v>
      </c>
    </row>
    <row r="80" spans="1:13" ht="12.75">
      <c r="A80" s="9" t="s">
        <v>394</v>
      </c>
      <c r="B80" s="9" t="s">
        <v>395</v>
      </c>
      <c r="C80" s="9" t="s">
        <v>396</v>
      </c>
      <c r="D80" s="9" t="str">
        <f>"0,6428"</f>
        <v>0,6428</v>
      </c>
      <c r="E80" s="9" t="s">
        <v>340</v>
      </c>
      <c r="F80" s="9" t="s">
        <v>341</v>
      </c>
      <c r="G80" s="9" t="s">
        <v>72</v>
      </c>
      <c r="H80" s="10"/>
      <c r="I80" s="10"/>
      <c r="J80" s="10"/>
      <c r="K80" s="9">
        <v>255</v>
      </c>
      <c r="L80" s="9" t="str">
        <f>"163,9140"</f>
        <v>163,9140</v>
      </c>
      <c r="M80" s="9" t="s">
        <v>27</v>
      </c>
    </row>
    <row r="81" spans="1:13" ht="12.75">
      <c r="A81" s="9" t="s">
        <v>1375</v>
      </c>
      <c r="B81" s="9" t="s">
        <v>1376</v>
      </c>
      <c r="C81" s="9" t="s">
        <v>1377</v>
      </c>
      <c r="D81" s="9" t="str">
        <f>"0,6528"</f>
        <v>0,6528</v>
      </c>
      <c r="E81" s="9" t="s">
        <v>1571</v>
      </c>
      <c r="F81" s="9" t="s">
        <v>1378</v>
      </c>
      <c r="G81" s="9" t="s">
        <v>65</v>
      </c>
      <c r="H81" s="9" t="s">
        <v>79</v>
      </c>
      <c r="I81" s="10" t="s">
        <v>63</v>
      </c>
      <c r="J81" s="10"/>
      <c r="K81" s="9">
        <v>245</v>
      </c>
      <c r="L81" s="9" t="str">
        <f>"159,9360"</f>
        <v>159,9360</v>
      </c>
      <c r="M81" s="9" t="s">
        <v>1581</v>
      </c>
    </row>
    <row r="82" spans="1:13" ht="12.75">
      <c r="A82" s="9" t="s">
        <v>418</v>
      </c>
      <c r="B82" s="9" t="s">
        <v>419</v>
      </c>
      <c r="C82" s="9" t="s">
        <v>102</v>
      </c>
      <c r="D82" s="9" t="str">
        <f>"0,6440"</f>
        <v>0,6440</v>
      </c>
      <c r="E82" s="9" t="s">
        <v>1571</v>
      </c>
      <c r="F82" s="9" t="s">
        <v>1505</v>
      </c>
      <c r="G82" s="9" t="s">
        <v>68</v>
      </c>
      <c r="H82" s="9" t="s">
        <v>79</v>
      </c>
      <c r="I82" s="10" t="s">
        <v>72</v>
      </c>
      <c r="J82" s="10"/>
      <c r="K82" s="9">
        <v>245</v>
      </c>
      <c r="L82" s="9" t="str">
        <f>"157,7800"</f>
        <v>157,7800</v>
      </c>
      <c r="M82" s="9" t="s">
        <v>421</v>
      </c>
    </row>
    <row r="83" spans="1:13" ht="12.75">
      <c r="A83" s="9" t="s">
        <v>1379</v>
      </c>
      <c r="B83" s="9" t="s">
        <v>1380</v>
      </c>
      <c r="C83" s="9" t="s">
        <v>1022</v>
      </c>
      <c r="D83" s="9" t="str">
        <f>"0,6503"</f>
        <v>0,6503</v>
      </c>
      <c r="E83" s="9" t="s">
        <v>1571</v>
      </c>
      <c r="F83" s="9" t="s">
        <v>1539</v>
      </c>
      <c r="G83" s="9" t="s">
        <v>57</v>
      </c>
      <c r="H83" s="9" t="s">
        <v>65</v>
      </c>
      <c r="I83" s="10" t="s">
        <v>63</v>
      </c>
      <c r="J83" s="10"/>
      <c r="K83" s="9">
        <v>240</v>
      </c>
      <c r="L83" s="9" t="str">
        <f>"156,0720"</f>
        <v>156,0720</v>
      </c>
      <c r="M83" s="9" t="s">
        <v>27</v>
      </c>
    </row>
    <row r="84" spans="1:13" ht="12.75">
      <c r="A84" s="11" t="s">
        <v>1381</v>
      </c>
      <c r="B84" s="11" t="s">
        <v>1382</v>
      </c>
      <c r="C84" s="11" t="s">
        <v>104</v>
      </c>
      <c r="D84" s="11" t="str">
        <f>"0,6402"</f>
        <v>0,6402</v>
      </c>
      <c r="E84" s="11" t="s">
        <v>1571</v>
      </c>
      <c r="F84" s="11" t="s">
        <v>436</v>
      </c>
      <c r="G84" s="11" t="s">
        <v>44</v>
      </c>
      <c r="H84" s="11" t="s">
        <v>57</v>
      </c>
      <c r="I84" s="11" t="s">
        <v>74</v>
      </c>
      <c r="J84" s="12"/>
      <c r="K84" s="11">
        <v>230</v>
      </c>
      <c r="L84" s="11" t="str">
        <f>"225,7281"</f>
        <v>225,7281</v>
      </c>
      <c r="M84" s="11" t="s">
        <v>27</v>
      </c>
    </row>
    <row r="86" spans="1:12" ht="15">
      <c r="A86" s="116" t="s">
        <v>111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1:13" ht="12.75">
      <c r="A87" s="7" t="s">
        <v>1383</v>
      </c>
      <c r="B87" s="7" t="s">
        <v>1384</v>
      </c>
      <c r="C87" s="7" t="s">
        <v>1385</v>
      </c>
      <c r="D87" s="7" t="str">
        <f>"0,6131"</f>
        <v>0,6131</v>
      </c>
      <c r="E87" s="7" t="s">
        <v>1386</v>
      </c>
      <c r="F87" s="7" t="s">
        <v>1387</v>
      </c>
      <c r="G87" s="7" t="s">
        <v>73</v>
      </c>
      <c r="H87" s="7" t="s">
        <v>1388</v>
      </c>
      <c r="I87" s="7" t="s">
        <v>106</v>
      </c>
      <c r="J87" s="8"/>
      <c r="K87" s="7">
        <v>300</v>
      </c>
      <c r="L87" s="7" t="str">
        <f>"183,9300"</f>
        <v>183,9300</v>
      </c>
      <c r="M87" s="7" t="s">
        <v>1389</v>
      </c>
    </row>
    <row r="88" spans="1:13" ht="12.75">
      <c r="A88" s="9" t="s">
        <v>463</v>
      </c>
      <c r="B88" s="9" t="s">
        <v>464</v>
      </c>
      <c r="C88" s="9" t="s">
        <v>135</v>
      </c>
      <c r="D88" s="9" t="str">
        <f>"0,6188"</f>
        <v>0,6188</v>
      </c>
      <c r="E88" s="9" t="s">
        <v>1571</v>
      </c>
      <c r="F88" s="9" t="s">
        <v>55</v>
      </c>
      <c r="G88" s="9" t="s">
        <v>390</v>
      </c>
      <c r="H88" s="10"/>
      <c r="I88" s="10"/>
      <c r="J88" s="10"/>
      <c r="K88" s="9">
        <v>275</v>
      </c>
      <c r="L88" s="9" t="str">
        <f>"170,1700"</f>
        <v>170,1700</v>
      </c>
      <c r="M88" s="9" t="s">
        <v>27</v>
      </c>
    </row>
    <row r="89" spans="1:13" ht="12.75">
      <c r="A89" s="9" t="s">
        <v>1390</v>
      </c>
      <c r="B89" s="9" t="s">
        <v>1391</v>
      </c>
      <c r="C89" s="9" t="s">
        <v>132</v>
      </c>
      <c r="D89" s="9" t="str">
        <f>"0,6121"</f>
        <v>0,6121</v>
      </c>
      <c r="E89" s="9" t="s">
        <v>1571</v>
      </c>
      <c r="F89" s="9" t="s">
        <v>1492</v>
      </c>
      <c r="G89" s="9" t="s">
        <v>63</v>
      </c>
      <c r="H89" s="9" t="s">
        <v>80</v>
      </c>
      <c r="I89" s="9" t="s">
        <v>1392</v>
      </c>
      <c r="J89" s="10"/>
      <c r="K89" s="9">
        <v>267.5</v>
      </c>
      <c r="L89" s="9" t="str">
        <f>"163,7368"</f>
        <v>163,7368</v>
      </c>
      <c r="M89" s="9" t="s">
        <v>27</v>
      </c>
    </row>
    <row r="90" spans="1:13" ht="12.75">
      <c r="A90" s="9" t="s">
        <v>1393</v>
      </c>
      <c r="B90" s="9" t="s">
        <v>1394</v>
      </c>
      <c r="C90" s="9" t="s">
        <v>127</v>
      </c>
      <c r="D90" s="9" t="str">
        <f>"0,6163"</f>
        <v>0,6163</v>
      </c>
      <c r="E90" s="9" t="s">
        <v>1571</v>
      </c>
      <c r="F90" s="9" t="s">
        <v>1492</v>
      </c>
      <c r="G90" s="9" t="s">
        <v>307</v>
      </c>
      <c r="H90" s="9" t="s">
        <v>313</v>
      </c>
      <c r="I90" s="9" t="s">
        <v>67</v>
      </c>
      <c r="J90" s="10"/>
      <c r="K90" s="9">
        <v>252.5</v>
      </c>
      <c r="L90" s="9" t="str">
        <f>"155,6157"</f>
        <v>155,6157</v>
      </c>
      <c r="M90" s="9" t="s">
        <v>27</v>
      </c>
    </row>
    <row r="91" spans="1:13" ht="12.75">
      <c r="A91" s="9" t="s">
        <v>1395</v>
      </c>
      <c r="B91" s="9" t="s">
        <v>1396</v>
      </c>
      <c r="C91" s="9" t="s">
        <v>462</v>
      </c>
      <c r="D91" s="9" t="str">
        <f>"0,6086"</f>
        <v>0,6086</v>
      </c>
      <c r="E91" s="9" t="s">
        <v>1571</v>
      </c>
      <c r="F91" s="9" t="s">
        <v>1397</v>
      </c>
      <c r="G91" s="10"/>
      <c r="H91" s="10"/>
      <c r="I91" s="10"/>
      <c r="J91" s="10"/>
      <c r="K91" s="9">
        <v>0</v>
      </c>
      <c r="L91" s="9" t="str">
        <f>"0,0000"</f>
        <v>0,0000</v>
      </c>
      <c r="M91" s="9" t="s">
        <v>27</v>
      </c>
    </row>
    <row r="92" spans="1:13" ht="12.75">
      <c r="A92" s="9" t="s">
        <v>1398</v>
      </c>
      <c r="B92" s="9" t="s">
        <v>1399</v>
      </c>
      <c r="C92" s="9" t="s">
        <v>52</v>
      </c>
      <c r="D92" s="9" t="str">
        <f>"0,6183"</f>
        <v>0,6183</v>
      </c>
      <c r="E92" s="9" t="s">
        <v>16</v>
      </c>
      <c r="F92" s="9" t="s">
        <v>1492</v>
      </c>
      <c r="G92" s="9" t="s">
        <v>65</v>
      </c>
      <c r="H92" s="9" t="s">
        <v>63</v>
      </c>
      <c r="I92" s="10" t="s">
        <v>72</v>
      </c>
      <c r="J92" s="10"/>
      <c r="K92" s="9">
        <v>250</v>
      </c>
      <c r="L92" s="9" t="str">
        <f>"155,3479"</f>
        <v>155,3479</v>
      </c>
      <c r="M92" s="9" t="s">
        <v>27</v>
      </c>
    </row>
    <row r="93" spans="1:13" ht="12.75">
      <c r="A93" s="9" t="s">
        <v>1090</v>
      </c>
      <c r="B93" s="9" t="s">
        <v>1091</v>
      </c>
      <c r="C93" s="9" t="s">
        <v>1085</v>
      </c>
      <c r="D93" s="9" t="str">
        <f>"0,6108"</f>
        <v>0,6108</v>
      </c>
      <c r="E93" s="9" t="s">
        <v>1571</v>
      </c>
      <c r="F93" s="9" t="s">
        <v>1543</v>
      </c>
      <c r="G93" s="9" t="s">
        <v>44</v>
      </c>
      <c r="H93" s="9" t="s">
        <v>56</v>
      </c>
      <c r="I93" s="9" t="s">
        <v>57</v>
      </c>
      <c r="J93" s="10"/>
      <c r="K93" s="9">
        <v>220</v>
      </c>
      <c r="L93" s="9" t="str">
        <f>"177,6451"</f>
        <v>177,6451</v>
      </c>
      <c r="M93" s="9" t="s">
        <v>27</v>
      </c>
    </row>
    <row r="94" spans="1:13" ht="12.75">
      <c r="A94" s="11" t="s">
        <v>495</v>
      </c>
      <c r="B94" s="11" t="s">
        <v>496</v>
      </c>
      <c r="C94" s="11" t="s">
        <v>497</v>
      </c>
      <c r="D94" s="11" t="str">
        <f>"0,6091"</f>
        <v>0,6091</v>
      </c>
      <c r="E94" s="11" t="s">
        <v>1485</v>
      </c>
      <c r="F94" s="11" t="s">
        <v>1529</v>
      </c>
      <c r="G94" s="11" t="s">
        <v>44</v>
      </c>
      <c r="H94" s="12"/>
      <c r="I94" s="12"/>
      <c r="J94" s="12"/>
      <c r="K94" s="11">
        <v>200</v>
      </c>
      <c r="L94" s="11" t="str">
        <f>"144,6003"</f>
        <v>144,6003</v>
      </c>
      <c r="M94" s="11" t="s">
        <v>289</v>
      </c>
    </row>
    <row r="96" spans="1:12" ht="15">
      <c r="A96" s="116" t="s">
        <v>136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</row>
    <row r="97" spans="1:13" ht="12.75">
      <c r="A97" s="7" t="s">
        <v>1092</v>
      </c>
      <c r="B97" s="7" t="s">
        <v>1093</v>
      </c>
      <c r="C97" s="7" t="s">
        <v>1094</v>
      </c>
      <c r="D97" s="7" t="str">
        <f>"0,6076"</f>
        <v>0,6076</v>
      </c>
      <c r="E97" s="7" t="s">
        <v>16</v>
      </c>
      <c r="F97" s="7" t="s">
        <v>1095</v>
      </c>
      <c r="G97" s="8" t="s">
        <v>35</v>
      </c>
      <c r="H97" s="8" t="s">
        <v>35</v>
      </c>
      <c r="I97" s="7" t="s">
        <v>59</v>
      </c>
      <c r="J97" s="8"/>
      <c r="K97" s="7">
        <v>160</v>
      </c>
      <c r="L97" s="7" t="str">
        <f>"97,2160"</f>
        <v>97,2160</v>
      </c>
      <c r="M97" s="7" t="s">
        <v>27</v>
      </c>
    </row>
    <row r="98" spans="1:13" ht="12.75">
      <c r="A98" s="9" t="s">
        <v>510</v>
      </c>
      <c r="B98" s="9" t="s">
        <v>511</v>
      </c>
      <c r="C98" s="9" t="s">
        <v>512</v>
      </c>
      <c r="D98" s="9" t="str">
        <f>"0,5941"</f>
        <v>0,5941</v>
      </c>
      <c r="E98" s="9" t="s">
        <v>1571</v>
      </c>
      <c r="F98" s="9" t="s">
        <v>47</v>
      </c>
      <c r="G98" s="9" t="s">
        <v>83</v>
      </c>
      <c r="H98" s="10"/>
      <c r="I98" s="10"/>
      <c r="J98" s="10"/>
      <c r="K98" s="9">
        <v>280</v>
      </c>
      <c r="L98" s="9" t="str">
        <f>"166,3480"</f>
        <v>166,3480</v>
      </c>
      <c r="M98" s="9" t="s">
        <v>1523</v>
      </c>
    </row>
    <row r="99" spans="1:13" ht="12.75">
      <c r="A99" s="9" t="s">
        <v>526</v>
      </c>
      <c r="B99" s="9" t="s">
        <v>527</v>
      </c>
      <c r="C99" s="9" t="s">
        <v>528</v>
      </c>
      <c r="D99" s="9" t="str">
        <f>"0,5966"</f>
        <v>0,5966</v>
      </c>
      <c r="E99" s="9" t="s">
        <v>1571</v>
      </c>
      <c r="F99" s="9" t="s">
        <v>529</v>
      </c>
      <c r="G99" s="9" t="s">
        <v>68</v>
      </c>
      <c r="H99" s="10"/>
      <c r="I99" s="10"/>
      <c r="J99" s="10"/>
      <c r="K99" s="9">
        <v>235</v>
      </c>
      <c r="L99" s="9" t="str">
        <f>"140,2010"</f>
        <v>140,2010</v>
      </c>
      <c r="M99" s="9" t="s">
        <v>27</v>
      </c>
    </row>
    <row r="100" spans="1:13" ht="12.75">
      <c r="A100" s="9" t="s">
        <v>533</v>
      </c>
      <c r="B100" s="9" t="s">
        <v>534</v>
      </c>
      <c r="C100" s="9" t="s">
        <v>535</v>
      </c>
      <c r="D100" s="9" t="str">
        <f>"0,6081"</f>
        <v>0,6081</v>
      </c>
      <c r="E100" s="9" t="s">
        <v>1571</v>
      </c>
      <c r="F100" s="9" t="s">
        <v>1501</v>
      </c>
      <c r="G100" s="9" t="s">
        <v>56</v>
      </c>
      <c r="H100" s="10"/>
      <c r="I100" s="10"/>
      <c r="J100" s="10"/>
      <c r="K100" s="9">
        <v>210</v>
      </c>
      <c r="L100" s="9" t="str">
        <f>"128,3395"</f>
        <v>128,3395</v>
      </c>
      <c r="M100" s="9" t="s">
        <v>27</v>
      </c>
    </row>
    <row r="101" spans="1:13" ht="12.75">
      <c r="A101" s="9" t="s">
        <v>538</v>
      </c>
      <c r="B101" s="9" t="s">
        <v>539</v>
      </c>
      <c r="C101" s="9" t="s">
        <v>540</v>
      </c>
      <c r="D101" s="9" t="str">
        <f>"0,5897"</f>
        <v>0,5897</v>
      </c>
      <c r="E101" s="9" t="s">
        <v>1571</v>
      </c>
      <c r="F101" s="9" t="s">
        <v>541</v>
      </c>
      <c r="G101" s="9" t="s">
        <v>80</v>
      </c>
      <c r="H101" s="10"/>
      <c r="I101" s="10"/>
      <c r="J101" s="10"/>
      <c r="K101" s="9">
        <v>262.5</v>
      </c>
      <c r="L101" s="9" t="str">
        <f>"190,0898"</f>
        <v>190,0898</v>
      </c>
      <c r="M101" s="9" t="s">
        <v>27</v>
      </c>
    </row>
    <row r="102" spans="1:13" ht="12.75">
      <c r="A102" s="11" t="s">
        <v>1149</v>
      </c>
      <c r="B102" s="11" t="s">
        <v>1150</v>
      </c>
      <c r="C102" s="11" t="s">
        <v>1151</v>
      </c>
      <c r="D102" s="11" t="str">
        <f>"0,6041"</f>
        <v>0,6041</v>
      </c>
      <c r="E102" s="11" t="s">
        <v>23</v>
      </c>
      <c r="F102" s="11" t="s">
        <v>1529</v>
      </c>
      <c r="G102" s="11" t="s">
        <v>33</v>
      </c>
      <c r="H102" s="12" t="s">
        <v>59</v>
      </c>
      <c r="I102" s="11" t="s">
        <v>42</v>
      </c>
      <c r="J102" s="12"/>
      <c r="K102" s="11">
        <v>170</v>
      </c>
      <c r="L102" s="11" t="str">
        <f>"141,7219"</f>
        <v>141,7219</v>
      </c>
      <c r="M102" s="11" t="s">
        <v>289</v>
      </c>
    </row>
    <row r="104" spans="1:12" ht="15">
      <c r="A104" s="116" t="s">
        <v>138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1:13" ht="12.75">
      <c r="A105" s="7" t="s">
        <v>566</v>
      </c>
      <c r="B105" s="7" t="s">
        <v>1400</v>
      </c>
      <c r="C105" s="7" t="s">
        <v>1401</v>
      </c>
      <c r="D105" s="7" t="str">
        <f>"0,5792"</f>
        <v>0,5792</v>
      </c>
      <c r="E105" s="7" t="s">
        <v>1571</v>
      </c>
      <c r="F105" s="7" t="s">
        <v>1492</v>
      </c>
      <c r="G105" s="7" t="s">
        <v>63</v>
      </c>
      <c r="H105" s="8" t="s">
        <v>77</v>
      </c>
      <c r="I105" s="8" t="s">
        <v>77</v>
      </c>
      <c r="J105" s="8"/>
      <c r="K105" s="7">
        <v>250</v>
      </c>
      <c r="L105" s="7" t="str">
        <f>"144,8000"</f>
        <v>144,8000</v>
      </c>
      <c r="M105" s="7" t="s">
        <v>27</v>
      </c>
    </row>
    <row r="106" spans="1:13" ht="12.75">
      <c r="A106" s="9" t="s">
        <v>1402</v>
      </c>
      <c r="B106" s="9" t="s">
        <v>1403</v>
      </c>
      <c r="C106" s="9" t="s">
        <v>1404</v>
      </c>
      <c r="D106" s="9" t="str">
        <f>"0,5737"</f>
        <v>0,5737</v>
      </c>
      <c r="E106" s="9" t="s">
        <v>1571</v>
      </c>
      <c r="F106" s="9" t="s">
        <v>1492</v>
      </c>
      <c r="G106" s="9" t="s">
        <v>390</v>
      </c>
      <c r="H106" s="9" t="s">
        <v>513</v>
      </c>
      <c r="I106" s="10" t="s">
        <v>551</v>
      </c>
      <c r="J106" s="10"/>
      <c r="K106" s="9">
        <v>295</v>
      </c>
      <c r="L106" s="9" t="str">
        <f>"169,2415"</f>
        <v>169,2415</v>
      </c>
      <c r="M106" s="9" t="s">
        <v>27</v>
      </c>
    </row>
    <row r="107" spans="1:13" ht="12.75">
      <c r="A107" s="9" t="s">
        <v>1405</v>
      </c>
      <c r="B107" s="9" t="s">
        <v>1406</v>
      </c>
      <c r="C107" s="9" t="s">
        <v>1407</v>
      </c>
      <c r="D107" s="9" t="str">
        <f>"0,5849"</f>
        <v>0,5849</v>
      </c>
      <c r="E107" s="9" t="s">
        <v>1571</v>
      </c>
      <c r="F107" s="9" t="s">
        <v>1539</v>
      </c>
      <c r="G107" s="9" t="s">
        <v>77</v>
      </c>
      <c r="H107" s="9" t="s">
        <v>390</v>
      </c>
      <c r="I107" s="10" t="s">
        <v>106</v>
      </c>
      <c r="J107" s="10"/>
      <c r="K107" s="9">
        <v>275</v>
      </c>
      <c r="L107" s="9" t="str">
        <f>"160,8475"</f>
        <v>160,8475</v>
      </c>
      <c r="M107" s="9" t="s">
        <v>27</v>
      </c>
    </row>
    <row r="108" spans="1:13" ht="12.75">
      <c r="A108" s="9" t="s">
        <v>1408</v>
      </c>
      <c r="B108" s="9" t="s">
        <v>1409</v>
      </c>
      <c r="C108" s="9" t="s">
        <v>1410</v>
      </c>
      <c r="D108" s="9" t="str">
        <f>"0,5815"</f>
        <v>0,5815</v>
      </c>
      <c r="E108" s="9" t="s">
        <v>1571</v>
      </c>
      <c r="F108" s="9" t="s">
        <v>1300</v>
      </c>
      <c r="G108" s="10" t="s">
        <v>63</v>
      </c>
      <c r="H108" s="10" t="s">
        <v>63</v>
      </c>
      <c r="I108" s="9" t="s">
        <v>77</v>
      </c>
      <c r="J108" s="10"/>
      <c r="K108" s="9">
        <v>260</v>
      </c>
      <c r="L108" s="9" t="str">
        <f>"151,1900"</f>
        <v>151,1900</v>
      </c>
      <c r="M108" s="9" t="s">
        <v>27</v>
      </c>
    </row>
    <row r="109" spans="1:13" ht="12.75">
      <c r="A109" s="9" t="s">
        <v>568</v>
      </c>
      <c r="B109" s="9" t="s">
        <v>569</v>
      </c>
      <c r="C109" s="9" t="s">
        <v>570</v>
      </c>
      <c r="D109" s="9" t="str">
        <f>"0,5831"</f>
        <v>0,5831</v>
      </c>
      <c r="E109" s="9" t="s">
        <v>1571</v>
      </c>
      <c r="F109" s="9" t="s">
        <v>571</v>
      </c>
      <c r="G109" s="9" t="s">
        <v>63</v>
      </c>
      <c r="H109" s="10"/>
      <c r="I109" s="10"/>
      <c r="J109" s="10"/>
      <c r="K109" s="9">
        <v>250</v>
      </c>
      <c r="L109" s="9" t="str">
        <f>"145,7750"</f>
        <v>145,7750</v>
      </c>
      <c r="M109" s="9" t="s">
        <v>27</v>
      </c>
    </row>
    <row r="110" spans="1:13" ht="12.75">
      <c r="A110" s="11" t="s">
        <v>572</v>
      </c>
      <c r="B110" s="11" t="s">
        <v>573</v>
      </c>
      <c r="C110" s="11" t="s">
        <v>574</v>
      </c>
      <c r="D110" s="11" t="str">
        <f>"0,5723"</f>
        <v>0,5723</v>
      </c>
      <c r="E110" s="11" t="s">
        <v>1571</v>
      </c>
      <c r="F110" s="11" t="s">
        <v>124</v>
      </c>
      <c r="G110" s="11" t="s">
        <v>451</v>
      </c>
      <c r="H110" s="12"/>
      <c r="I110" s="12"/>
      <c r="J110" s="12"/>
      <c r="K110" s="11">
        <v>257.5</v>
      </c>
      <c r="L110" s="11" t="str">
        <f>"177,8723"</f>
        <v>177,8723</v>
      </c>
      <c r="M110" s="11" t="s">
        <v>575</v>
      </c>
    </row>
    <row r="112" spans="1:12" ht="15">
      <c r="A112" s="116" t="s">
        <v>576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1:13" ht="12.75">
      <c r="A113" s="5" t="s">
        <v>1187</v>
      </c>
      <c r="B113" s="5" t="s">
        <v>1188</v>
      </c>
      <c r="C113" s="5" t="s">
        <v>1189</v>
      </c>
      <c r="D113" s="5" t="str">
        <f>"0,5661"</f>
        <v>0,5661</v>
      </c>
      <c r="E113" s="5" t="s">
        <v>16</v>
      </c>
      <c r="F113" s="5" t="s">
        <v>278</v>
      </c>
      <c r="G113" s="5" t="s">
        <v>57</v>
      </c>
      <c r="H113" s="5" t="s">
        <v>79</v>
      </c>
      <c r="I113" s="5" t="s">
        <v>67</v>
      </c>
      <c r="J113" s="6"/>
      <c r="K113" s="5">
        <v>252.5</v>
      </c>
      <c r="L113" s="5" t="str">
        <f>"154,0896"</f>
        <v>154,0896</v>
      </c>
      <c r="M113" s="5" t="s">
        <v>27</v>
      </c>
    </row>
    <row r="116" spans="1:2" ht="18">
      <c r="A116" s="14" t="s">
        <v>140</v>
      </c>
      <c r="B116" s="14"/>
    </row>
    <row r="117" spans="1:2" ht="15">
      <c r="A117" s="15" t="s">
        <v>595</v>
      </c>
      <c r="B117" s="15"/>
    </row>
    <row r="118" spans="1:2" ht="14.25">
      <c r="A118" s="17"/>
      <c r="B118" s="18" t="s">
        <v>596</v>
      </c>
    </row>
    <row r="119" spans="1:5" ht="15">
      <c r="A119" s="19" t="s">
        <v>597</v>
      </c>
      <c r="B119" s="19" t="s">
        <v>598</v>
      </c>
      <c r="C119" s="19" t="s">
        <v>599</v>
      </c>
      <c r="D119" s="19" t="s">
        <v>600</v>
      </c>
      <c r="E119" s="19" t="s">
        <v>601</v>
      </c>
    </row>
    <row r="120" spans="1:5" ht="12.75">
      <c r="A120" s="16" t="s">
        <v>776</v>
      </c>
      <c r="B120" s="4" t="s">
        <v>602</v>
      </c>
      <c r="C120" s="4" t="s">
        <v>618</v>
      </c>
      <c r="D120" s="4" t="s">
        <v>24</v>
      </c>
      <c r="E120" s="20" t="s">
        <v>1411</v>
      </c>
    </row>
    <row r="121" spans="1:5" ht="12.75">
      <c r="A121" s="16" t="s">
        <v>1304</v>
      </c>
      <c r="B121" s="4" t="s">
        <v>605</v>
      </c>
      <c r="C121" s="4" t="s">
        <v>609</v>
      </c>
      <c r="D121" s="4" t="s">
        <v>24</v>
      </c>
      <c r="E121" s="20" t="s">
        <v>1412</v>
      </c>
    </row>
    <row r="122" spans="1:5" ht="12.75">
      <c r="A122" s="16" t="s">
        <v>1309</v>
      </c>
      <c r="B122" s="4" t="s">
        <v>605</v>
      </c>
      <c r="C122" s="4" t="s">
        <v>603</v>
      </c>
      <c r="D122" s="4" t="s">
        <v>169</v>
      </c>
      <c r="E122" s="20" t="s">
        <v>1413</v>
      </c>
    </row>
    <row r="123" spans="1:5" ht="12.75">
      <c r="A123" s="16" t="s">
        <v>248</v>
      </c>
      <c r="B123" s="4" t="s">
        <v>605</v>
      </c>
      <c r="C123" s="4" t="s">
        <v>606</v>
      </c>
      <c r="D123" s="4" t="s">
        <v>30</v>
      </c>
      <c r="E123" s="20" t="s">
        <v>1414</v>
      </c>
    </row>
    <row r="124" spans="1:5" ht="12.75">
      <c r="A124" s="16" t="s">
        <v>1307</v>
      </c>
      <c r="B124" s="4" t="s">
        <v>605</v>
      </c>
      <c r="C124" s="4" t="s">
        <v>603</v>
      </c>
      <c r="D124" s="4" t="s">
        <v>268</v>
      </c>
      <c r="E124" s="20" t="s">
        <v>1415</v>
      </c>
    </row>
    <row r="126" spans="1:2" ht="14.25">
      <c r="A126" s="17"/>
      <c r="B126" s="18" t="s">
        <v>608</v>
      </c>
    </row>
    <row r="127" spans="1:5" ht="15">
      <c r="A127" s="19" t="s">
        <v>597</v>
      </c>
      <c r="B127" s="19" t="s">
        <v>598</v>
      </c>
      <c r="C127" s="19" t="s">
        <v>599</v>
      </c>
      <c r="D127" s="19" t="s">
        <v>600</v>
      </c>
      <c r="E127" s="19" t="s">
        <v>601</v>
      </c>
    </row>
    <row r="128" spans="1:5" ht="12.75">
      <c r="A128" s="16" t="s">
        <v>166</v>
      </c>
      <c r="B128" s="4" t="s">
        <v>608</v>
      </c>
      <c r="C128" s="4" t="s">
        <v>614</v>
      </c>
      <c r="D128" s="4" t="s">
        <v>169</v>
      </c>
      <c r="E128" s="20" t="s">
        <v>1416</v>
      </c>
    </row>
    <row r="129" spans="1:5" ht="12.75">
      <c r="A129" s="16" t="s">
        <v>1297</v>
      </c>
      <c r="B129" s="4" t="s">
        <v>608</v>
      </c>
      <c r="C129" s="4" t="s">
        <v>614</v>
      </c>
      <c r="D129" s="4" t="s">
        <v>268</v>
      </c>
      <c r="E129" s="20" t="s">
        <v>1417</v>
      </c>
    </row>
    <row r="130" spans="1:5" ht="12.75">
      <c r="A130" s="16" t="s">
        <v>176</v>
      </c>
      <c r="B130" s="4" t="s">
        <v>608</v>
      </c>
      <c r="C130" s="4" t="s">
        <v>618</v>
      </c>
      <c r="D130" s="4" t="s">
        <v>110</v>
      </c>
      <c r="E130" s="20" t="s">
        <v>1418</v>
      </c>
    </row>
    <row r="131" spans="1:5" ht="12.75">
      <c r="A131" s="16" t="s">
        <v>201</v>
      </c>
      <c r="B131" s="4" t="s">
        <v>608</v>
      </c>
      <c r="C131" s="4" t="s">
        <v>609</v>
      </c>
      <c r="D131" s="4" t="s">
        <v>31</v>
      </c>
      <c r="E131" s="20" t="s">
        <v>1419</v>
      </c>
    </row>
    <row r="133" spans="1:2" ht="14.25">
      <c r="A133" s="17"/>
      <c r="B133" s="18" t="s">
        <v>617</v>
      </c>
    </row>
    <row r="134" spans="1:5" ht="15">
      <c r="A134" s="19" t="s">
        <v>597</v>
      </c>
      <c r="B134" s="19" t="s">
        <v>598</v>
      </c>
      <c r="C134" s="19" t="s">
        <v>599</v>
      </c>
      <c r="D134" s="19" t="s">
        <v>600</v>
      </c>
      <c r="E134" s="19" t="s">
        <v>601</v>
      </c>
    </row>
    <row r="135" spans="1:5" ht="12.75">
      <c r="A135" s="16" t="s">
        <v>1295</v>
      </c>
      <c r="B135" s="4" t="s">
        <v>617</v>
      </c>
      <c r="C135" s="4" t="s">
        <v>622</v>
      </c>
      <c r="D135" s="4" t="s">
        <v>24</v>
      </c>
      <c r="E135" s="20" t="s">
        <v>1420</v>
      </c>
    </row>
    <row r="136" spans="1:5" ht="12.75">
      <c r="A136" s="16" t="s">
        <v>186</v>
      </c>
      <c r="B136" s="4" t="s">
        <v>617</v>
      </c>
      <c r="C136" s="4" t="s">
        <v>618</v>
      </c>
      <c r="D136" s="4" t="s">
        <v>189</v>
      </c>
      <c r="E136" s="20" t="s">
        <v>1421</v>
      </c>
    </row>
    <row r="137" spans="1:5" ht="12.75">
      <c r="A137" s="16" t="s">
        <v>155</v>
      </c>
      <c r="B137" s="4" t="s">
        <v>617</v>
      </c>
      <c r="C137" s="4" t="s">
        <v>612</v>
      </c>
      <c r="D137" s="4" t="s">
        <v>18</v>
      </c>
      <c r="E137" s="20" t="s">
        <v>1422</v>
      </c>
    </row>
    <row r="138" spans="1:5" ht="12.75">
      <c r="A138" s="16" t="s">
        <v>1312</v>
      </c>
      <c r="B138" s="4" t="s">
        <v>617</v>
      </c>
      <c r="C138" s="4" t="s">
        <v>603</v>
      </c>
      <c r="D138" s="4" t="s">
        <v>130</v>
      </c>
      <c r="E138" s="20" t="s">
        <v>1423</v>
      </c>
    </row>
    <row r="139" spans="1:5" ht="12.75">
      <c r="A139" s="16" t="s">
        <v>1301</v>
      </c>
      <c r="B139" s="4" t="s">
        <v>617</v>
      </c>
      <c r="C139" s="4" t="s">
        <v>618</v>
      </c>
      <c r="D139" s="4" t="s">
        <v>225</v>
      </c>
      <c r="E139" s="20" t="s">
        <v>1424</v>
      </c>
    </row>
    <row r="140" spans="1:5" ht="12.75">
      <c r="A140" s="16" t="s">
        <v>191</v>
      </c>
      <c r="B140" s="4" t="s">
        <v>617</v>
      </c>
      <c r="C140" s="4" t="s">
        <v>618</v>
      </c>
      <c r="D140" s="4" t="s">
        <v>18</v>
      </c>
      <c r="E140" s="20" t="s">
        <v>1425</v>
      </c>
    </row>
    <row r="141" spans="1:5" ht="12.75">
      <c r="A141" s="16" t="s">
        <v>191</v>
      </c>
      <c r="B141" s="4" t="s">
        <v>617</v>
      </c>
      <c r="C141" s="4" t="s">
        <v>618</v>
      </c>
      <c r="D141" s="4" t="s">
        <v>18</v>
      </c>
      <c r="E141" s="20" t="s">
        <v>1425</v>
      </c>
    </row>
    <row r="142" spans="1:5" ht="12.75">
      <c r="A142" s="16" t="s">
        <v>1318</v>
      </c>
      <c r="B142" s="4" t="s">
        <v>617</v>
      </c>
      <c r="C142" s="4" t="s">
        <v>606</v>
      </c>
      <c r="D142" s="4" t="s">
        <v>58</v>
      </c>
      <c r="E142" s="20" t="s">
        <v>1426</v>
      </c>
    </row>
    <row r="143" spans="1:5" ht="12.75">
      <c r="A143" s="16" t="s">
        <v>230</v>
      </c>
      <c r="B143" s="4" t="s">
        <v>617</v>
      </c>
      <c r="C143" s="4" t="s">
        <v>603</v>
      </c>
      <c r="D143" s="4" t="s">
        <v>24</v>
      </c>
      <c r="E143" s="20" t="s">
        <v>1427</v>
      </c>
    </row>
    <row r="145" spans="1:2" ht="14.25">
      <c r="A145" s="17"/>
      <c r="B145" s="18" t="s">
        <v>632</v>
      </c>
    </row>
    <row r="146" spans="1:5" ht="15">
      <c r="A146" s="19" t="s">
        <v>597</v>
      </c>
      <c r="B146" s="19" t="s">
        <v>598</v>
      </c>
      <c r="C146" s="19" t="s">
        <v>599</v>
      </c>
      <c r="D146" s="19" t="s">
        <v>600</v>
      </c>
      <c r="E146" s="19" t="s">
        <v>601</v>
      </c>
    </row>
    <row r="147" spans="1:5" ht="12.75">
      <c r="A147" s="16" t="s">
        <v>1315</v>
      </c>
      <c r="B147" s="4" t="s">
        <v>633</v>
      </c>
      <c r="C147" s="4" t="s">
        <v>603</v>
      </c>
      <c r="D147" s="4" t="s">
        <v>38</v>
      </c>
      <c r="E147" s="20" t="s">
        <v>1428</v>
      </c>
    </row>
    <row r="148" spans="1:5" ht="12.75">
      <c r="A148" s="16" t="s">
        <v>212</v>
      </c>
      <c r="B148" s="4" t="s">
        <v>633</v>
      </c>
      <c r="C148" s="4" t="s">
        <v>609</v>
      </c>
      <c r="D148" s="4" t="s">
        <v>216</v>
      </c>
      <c r="E148" s="20" t="s">
        <v>1429</v>
      </c>
    </row>
    <row r="149" spans="1:5" ht="12.75">
      <c r="A149" s="16" t="s">
        <v>244</v>
      </c>
      <c r="B149" s="4" t="s">
        <v>727</v>
      </c>
      <c r="C149" s="4" t="s">
        <v>603</v>
      </c>
      <c r="D149" s="4" t="s">
        <v>169</v>
      </c>
      <c r="E149" s="20" t="s">
        <v>1430</v>
      </c>
    </row>
    <row r="151" spans="1:2" ht="15">
      <c r="A151" s="15" t="s">
        <v>637</v>
      </c>
      <c r="B151" s="15"/>
    </row>
    <row r="152" spans="1:2" ht="14.25">
      <c r="A152" s="17"/>
      <c r="B152" s="18" t="s">
        <v>596</v>
      </c>
    </row>
    <row r="153" spans="1:5" ht="15">
      <c r="A153" s="19" t="s">
        <v>597</v>
      </c>
      <c r="B153" s="19" t="s">
        <v>598</v>
      </c>
      <c r="C153" s="19" t="s">
        <v>599</v>
      </c>
      <c r="D153" s="19" t="s">
        <v>600</v>
      </c>
      <c r="E153" s="19" t="s">
        <v>601</v>
      </c>
    </row>
    <row r="154" spans="1:5" ht="12.75">
      <c r="A154" s="16" t="s">
        <v>361</v>
      </c>
      <c r="B154" s="4" t="s">
        <v>605</v>
      </c>
      <c r="C154" s="4" t="s">
        <v>638</v>
      </c>
      <c r="D154" s="4" t="s">
        <v>313</v>
      </c>
      <c r="E154" s="20" t="s">
        <v>1431</v>
      </c>
    </row>
    <row r="155" spans="1:5" ht="12.75">
      <c r="A155" s="16" t="s">
        <v>566</v>
      </c>
      <c r="B155" s="4" t="s">
        <v>605</v>
      </c>
      <c r="C155" s="4" t="s">
        <v>657</v>
      </c>
      <c r="D155" s="4" t="s">
        <v>63</v>
      </c>
      <c r="E155" s="20" t="s">
        <v>1432</v>
      </c>
    </row>
    <row r="156" spans="1:5" ht="12.75">
      <c r="A156" s="16" t="s">
        <v>1330</v>
      </c>
      <c r="B156" s="4" t="s">
        <v>605</v>
      </c>
      <c r="C156" s="4" t="s">
        <v>606</v>
      </c>
      <c r="D156" s="4" t="s">
        <v>283</v>
      </c>
      <c r="E156" s="20" t="s">
        <v>1433</v>
      </c>
    </row>
    <row r="157" spans="1:5" ht="12.75">
      <c r="A157" s="16" t="s">
        <v>1339</v>
      </c>
      <c r="B157" s="4" t="s">
        <v>605</v>
      </c>
      <c r="C157" s="4" t="s">
        <v>654</v>
      </c>
      <c r="D157" s="4" t="s">
        <v>283</v>
      </c>
      <c r="E157" s="20" t="s">
        <v>1434</v>
      </c>
    </row>
    <row r="158" spans="1:5" ht="12.75">
      <c r="A158" s="16" t="s">
        <v>1321</v>
      </c>
      <c r="B158" s="4" t="s">
        <v>605</v>
      </c>
      <c r="C158" s="4" t="s">
        <v>603</v>
      </c>
      <c r="D158" s="4" t="s">
        <v>35</v>
      </c>
      <c r="E158" s="20" t="s">
        <v>1435</v>
      </c>
    </row>
    <row r="159" spans="1:5" ht="12.75">
      <c r="A159" s="16" t="s">
        <v>985</v>
      </c>
      <c r="B159" s="4" t="s">
        <v>602</v>
      </c>
      <c r="C159" s="4" t="s">
        <v>638</v>
      </c>
      <c r="D159" s="4" t="s">
        <v>59</v>
      </c>
      <c r="E159" s="20" t="s">
        <v>1436</v>
      </c>
    </row>
    <row r="160" spans="1:5" ht="12.75">
      <c r="A160" s="16" t="s">
        <v>1092</v>
      </c>
      <c r="B160" s="4" t="s">
        <v>605</v>
      </c>
      <c r="C160" s="4" t="s">
        <v>649</v>
      </c>
      <c r="D160" s="4" t="s">
        <v>59</v>
      </c>
      <c r="E160" s="20" t="s">
        <v>1437</v>
      </c>
    </row>
    <row r="162" spans="1:2" ht="14.25">
      <c r="A162" s="17"/>
      <c r="B162" s="18" t="s">
        <v>608</v>
      </c>
    </row>
    <row r="163" spans="1:5" ht="15">
      <c r="A163" s="19" t="s">
        <v>597</v>
      </c>
      <c r="B163" s="19" t="s">
        <v>598</v>
      </c>
      <c r="C163" s="19" t="s">
        <v>599</v>
      </c>
      <c r="D163" s="19" t="s">
        <v>600</v>
      </c>
      <c r="E163" s="19" t="s">
        <v>601</v>
      </c>
    </row>
    <row r="164" spans="1:5" ht="12.75">
      <c r="A164" s="16" t="s">
        <v>377</v>
      </c>
      <c r="B164" s="4" t="s">
        <v>608</v>
      </c>
      <c r="C164" s="4" t="s">
        <v>638</v>
      </c>
      <c r="D164" s="4" t="s">
        <v>72</v>
      </c>
      <c r="E164" s="20" t="s">
        <v>1438</v>
      </c>
    </row>
    <row r="165" spans="1:5" ht="12.75">
      <c r="A165" s="16" t="s">
        <v>260</v>
      </c>
      <c r="B165" s="4" t="s">
        <v>608</v>
      </c>
      <c r="C165" s="4" t="s">
        <v>618</v>
      </c>
      <c r="D165" s="4" t="s">
        <v>99</v>
      </c>
      <c r="E165" s="20" t="s">
        <v>1439</v>
      </c>
    </row>
    <row r="166" spans="1:5" ht="12.75">
      <c r="A166" s="16" t="s">
        <v>1359</v>
      </c>
      <c r="B166" s="4" t="s">
        <v>608</v>
      </c>
      <c r="C166" s="4" t="s">
        <v>638</v>
      </c>
      <c r="D166" s="4" t="s">
        <v>313</v>
      </c>
      <c r="E166" s="20" t="s">
        <v>1440</v>
      </c>
    </row>
    <row r="167" spans="1:5" ht="12.75">
      <c r="A167" s="16" t="s">
        <v>1362</v>
      </c>
      <c r="B167" s="4" t="s">
        <v>608</v>
      </c>
      <c r="C167" s="4" t="s">
        <v>638</v>
      </c>
      <c r="D167" s="4" t="s">
        <v>65</v>
      </c>
      <c r="E167" s="20" t="s">
        <v>1441</v>
      </c>
    </row>
    <row r="168" spans="1:5" ht="12.75">
      <c r="A168" s="16" t="s">
        <v>1342</v>
      </c>
      <c r="B168" s="4" t="s">
        <v>608</v>
      </c>
      <c r="C168" s="4" t="s">
        <v>654</v>
      </c>
      <c r="D168" s="4" t="s">
        <v>113</v>
      </c>
      <c r="E168" s="20" t="s">
        <v>1442</v>
      </c>
    </row>
    <row r="169" spans="1:5" ht="12.75">
      <c r="A169" s="16" t="s">
        <v>338</v>
      </c>
      <c r="B169" s="4" t="s">
        <v>608</v>
      </c>
      <c r="C169" s="4" t="s">
        <v>654</v>
      </c>
      <c r="D169" s="4" t="s">
        <v>342</v>
      </c>
      <c r="E169" s="20" t="s">
        <v>1443</v>
      </c>
    </row>
    <row r="171" spans="1:2" ht="14.25">
      <c r="A171" s="17"/>
      <c r="B171" s="18" t="s">
        <v>617</v>
      </c>
    </row>
    <row r="172" spans="1:5" ht="15">
      <c r="A172" s="19" t="s">
        <v>597</v>
      </c>
      <c r="B172" s="19" t="s">
        <v>598</v>
      </c>
      <c r="C172" s="19" t="s">
        <v>599</v>
      </c>
      <c r="D172" s="19" t="s">
        <v>600</v>
      </c>
      <c r="E172" s="19" t="s">
        <v>601</v>
      </c>
    </row>
    <row r="173" spans="1:5" ht="12.75">
      <c r="A173" s="16" t="s">
        <v>1365</v>
      </c>
      <c r="B173" s="4" t="s">
        <v>617</v>
      </c>
      <c r="C173" s="4" t="s">
        <v>638</v>
      </c>
      <c r="D173" s="4" t="s">
        <v>1367</v>
      </c>
      <c r="E173" s="20" t="s">
        <v>1444</v>
      </c>
    </row>
    <row r="174" spans="1:5" ht="12.75">
      <c r="A174" s="16" t="s">
        <v>289</v>
      </c>
      <c r="B174" s="4" t="s">
        <v>617</v>
      </c>
      <c r="C174" s="4" t="s">
        <v>603</v>
      </c>
      <c r="D174" s="4" t="s">
        <v>68</v>
      </c>
      <c r="E174" s="20" t="s">
        <v>1445</v>
      </c>
    </row>
    <row r="175" spans="1:5" ht="12.75">
      <c r="A175" s="16" t="s">
        <v>1368</v>
      </c>
      <c r="B175" s="4" t="s">
        <v>617</v>
      </c>
      <c r="C175" s="4" t="s">
        <v>638</v>
      </c>
      <c r="D175" s="4" t="s">
        <v>115</v>
      </c>
      <c r="E175" s="20" t="s">
        <v>1446</v>
      </c>
    </row>
    <row r="176" spans="1:5" ht="12.75">
      <c r="A176" s="16" t="s">
        <v>1346</v>
      </c>
      <c r="B176" s="4" t="s">
        <v>617</v>
      </c>
      <c r="C176" s="4" t="s">
        <v>654</v>
      </c>
      <c r="D176" s="4" t="s">
        <v>83</v>
      </c>
      <c r="E176" s="20" t="s">
        <v>1447</v>
      </c>
    </row>
    <row r="177" spans="1:5" ht="12.75">
      <c r="A177" s="16" t="s">
        <v>1383</v>
      </c>
      <c r="B177" s="4" t="s">
        <v>617</v>
      </c>
      <c r="C177" s="4" t="s">
        <v>662</v>
      </c>
      <c r="D177" s="4" t="s">
        <v>106</v>
      </c>
      <c r="E177" s="20" t="s">
        <v>1448</v>
      </c>
    </row>
    <row r="178" spans="1:5" ht="12.75">
      <c r="A178" s="16" t="s">
        <v>353</v>
      </c>
      <c r="B178" s="4" t="s">
        <v>617</v>
      </c>
      <c r="C178" s="4" t="s">
        <v>654</v>
      </c>
      <c r="D178" s="4" t="s">
        <v>77</v>
      </c>
      <c r="E178" s="20" t="s">
        <v>1449</v>
      </c>
    </row>
    <row r="179" spans="1:5" ht="12.75">
      <c r="A179" s="16" t="s">
        <v>1349</v>
      </c>
      <c r="B179" s="4" t="s">
        <v>617</v>
      </c>
      <c r="C179" s="4" t="s">
        <v>654</v>
      </c>
      <c r="D179" s="4" t="s">
        <v>451</v>
      </c>
      <c r="E179" s="20" t="s">
        <v>1450</v>
      </c>
    </row>
    <row r="180" spans="1:5" ht="12.75">
      <c r="A180" s="16" t="s">
        <v>1372</v>
      </c>
      <c r="B180" s="4" t="s">
        <v>617</v>
      </c>
      <c r="C180" s="4" t="s">
        <v>638</v>
      </c>
      <c r="D180" s="4" t="s">
        <v>73</v>
      </c>
      <c r="E180" s="20" t="s">
        <v>1451</v>
      </c>
    </row>
    <row r="181" spans="1:5" ht="12.75">
      <c r="A181" s="16" t="s">
        <v>1352</v>
      </c>
      <c r="B181" s="4" t="s">
        <v>617</v>
      </c>
      <c r="C181" s="4" t="s">
        <v>654</v>
      </c>
      <c r="D181" s="4" t="s">
        <v>72</v>
      </c>
      <c r="E181" s="20" t="s">
        <v>1452</v>
      </c>
    </row>
    <row r="182" spans="1:5" ht="12.75">
      <c r="A182" s="16" t="s">
        <v>463</v>
      </c>
      <c r="B182" s="4" t="s">
        <v>617</v>
      </c>
      <c r="C182" s="4" t="s">
        <v>662</v>
      </c>
      <c r="D182" s="4" t="s">
        <v>390</v>
      </c>
      <c r="E182" s="20" t="s">
        <v>1453</v>
      </c>
    </row>
    <row r="183" spans="1:5" ht="12.75">
      <c r="A183" s="16" t="s">
        <v>1402</v>
      </c>
      <c r="B183" s="4" t="s">
        <v>617</v>
      </c>
      <c r="C183" s="4" t="s">
        <v>657</v>
      </c>
      <c r="D183" s="4" t="s">
        <v>513</v>
      </c>
      <c r="E183" s="20" t="s">
        <v>1454</v>
      </c>
    </row>
    <row r="184" spans="1:5" ht="12.75">
      <c r="A184" s="16" t="s">
        <v>1323</v>
      </c>
      <c r="B184" s="4" t="s">
        <v>617</v>
      </c>
      <c r="C184" s="4" t="s">
        <v>603</v>
      </c>
      <c r="D184" s="4" t="s">
        <v>88</v>
      </c>
      <c r="E184" s="20" t="s">
        <v>1455</v>
      </c>
    </row>
    <row r="185" spans="1:5" ht="12.75">
      <c r="A185" s="16" t="s">
        <v>510</v>
      </c>
      <c r="B185" s="4" t="s">
        <v>617</v>
      </c>
      <c r="C185" s="4" t="s">
        <v>649</v>
      </c>
      <c r="D185" s="4" t="s">
        <v>83</v>
      </c>
      <c r="E185" s="20" t="s">
        <v>1456</v>
      </c>
    </row>
    <row r="186" spans="1:5" ht="12.75">
      <c r="A186" s="16" t="s">
        <v>397</v>
      </c>
      <c r="B186" s="4" t="s">
        <v>617</v>
      </c>
      <c r="C186" s="4" t="s">
        <v>638</v>
      </c>
      <c r="D186" s="4" t="s">
        <v>451</v>
      </c>
      <c r="E186" s="20" t="s">
        <v>1457</v>
      </c>
    </row>
    <row r="187" spans="1:5" ht="12.75">
      <c r="A187" s="16" t="s">
        <v>394</v>
      </c>
      <c r="B187" s="4" t="s">
        <v>617</v>
      </c>
      <c r="C187" s="4" t="s">
        <v>638</v>
      </c>
      <c r="D187" s="4" t="s">
        <v>72</v>
      </c>
      <c r="E187" s="20" t="s">
        <v>1458</v>
      </c>
    </row>
    <row r="188" spans="1:5" ht="12.75">
      <c r="A188" s="16" t="s">
        <v>1390</v>
      </c>
      <c r="B188" s="4" t="s">
        <v>617</v>
      </c>
      <c r="C188" s="4" t="s">
        <v>662</v>
      </c>
      <c r="D188" s="4" t="s">
        <v>1392</v>
      </c>
      <c r="E188" s="20" t="s">
        <v>1459</v>
      </c>
    </row>
    <row r="189" spans="1:5" ht="12.75">
      <c r="A189" s="16" t="s">
        <v>1405</v>
      </c>
      <c r="B189" s="4" t="s">
        <v>617</v>
      </c>
      <c r="C189" s="4" t="s">
        <v>657</v>
      </c>
      <c r="D189" s="4" t="s">
        <v>390</v>
      </c>
      <c r="E189" s="20" t="s">
        <v>1460</v>
      </c>
    </row>
    <row r="190" spans="1:5" ht="12.75">
      <c r="A190" s="16" t="s">
        <v>310</v>
      </c>
      <c r="B190" s="4" t="s">
        <v>617</v>
      </c>
      <c r="C190" s="4" t="s">
        <v>606</v>
      </c>
      <c r="D190" s="4" t="s">
        <v>113</v>
      </c>
      <c r="E190" s="20" t="s">
        <v>1461</v>
      </c>
    </row>
    <row r="191" spans="1:5" ht="12.75">
      <c r="A191" s="16" t="s">
        <v>1375</v>
      </c>
      <c r="B191" s="4" t="s">
        <v>617</v>
      </c>
      <c r="C191" s="4" t="s">
        <v>638</v>
      </c>
      <c r="D191" s="4" t="s">
        <v>79</v>
      </c>
      <c r="E191" s="20" t="s">
        <v>1462</v>
      </c>
    </row>
    <row r="192" spans="1:5" ht="12.75">
      <c r="A192" s="16" t="s">
        <v>1355</v>
      </c>
      <c r="B192" s="4" t="s">
        <v>617</v>
      </c>
      <c r="C192" s="4" t="s">
        <v>654</v>
      </c>
      <c r="D192" s="4" t="s">
        <v>74</v>
      </c>
      <c r="E192" s="20" t="s">
        <v>1463</v>
      </c>
    </row>
    <row r="193" spans="1:5" ht="12.75">
      <c r="A193" s="16" t="s">
        <v>260</v>
      </c>
      <c r="B193" s="4" t="s">
        <v>617</v>
      </c>
      <c r="C193" s="4" t="s">
        <v>618</v>
      </c>
      <c r="D193" s="4" t="s">
        <v>99</v>
      </c>
      <c r="E193" s="20" t="s">
        <v>1439</v>
      </c>
    </row>
    <row r="194" spans="1:5" ht="12.75">
      <c r="A194" s="16" t="s">
        <v>418</v>
      </c>
      <c r="B194" s="4" t="s">
        <v>617</v>
      </c>
      <c r="C194" s="4" t="s">
        <v>638</v>
      </c>
      <c r="D194" s="4" t="s">
        <v>79</v>
      </c>
      <c r="E194" s="20" t="s">
        <v>1464</v>
      </c>
    </row>
    <row r="195" spans="1:5" ht="12.75">
      <c r="A195" s="16" t="s">
        <v>1334</v>
      </c>
      <c r="B195" s="4" t="s">
        <v>617</v>
      </c>
      <c r="C195" s="4" t="s">
        <v>606</v>
      </c>
      <c r="D195" s="4" t="s">
        <v>57</v>
      </c>
      <c r="E195" s="20" t="s">
        <v>1465</v>
      </c>
    </row>
    <row r="196" spans="1:5" ht="12.75">
      <c r="A196" s="16" t="s">
        <v>1379</v>
      </c>
      <c r="B196" s="4" t="s">
        <v>617</v>
      </c>
      <c r="C196" s="4" t="s">
        <v>638</v>
      </c>
      <c r="D196" s="4" t="s">
        <v>65</v>
      </c>
      <c r="E196" s="20" t="s">
        <v>1466</v>
      </c>
    </row>
    <row r="198" spans="1:2" ht="14.25">
      <c r="A198" s="17"/>
      <c r="B198" s="18" t="s">
        <v>632</v>
      </c>
    </row>
    <row r="199" spans="1:5" ht="15">
      <c r="A199" s="19" t="s">
        <v>597</v>
      </c>
      <c r="B199" s="19" t="s">
        <v>598</v>
      </c>
      <c r="C199" s="19" t="s">
        <v>599</v>
      </c>
      <c r="D199" s="19" t="s">
        <v>600</v>
      </c>
      <c r="E199" s="19" t="s">
        <v>601</v>
      </c>
    </row>
    <row r="200" spans="1:5" ht="12.75">
      <c r="A200" s="16" t="s">
        <v>1381</v>
      </c>
      <c r="B200" s="4" t="s">
        <v>730</v>
      </c>
      <c r="C200" s="4" t="s">
        <v>638</v>
      </c>
      <c r="D200" s="4" t="s">
        <v>74</v>
      </c>
      <c r="E200" s="20" t="s">
        <v>1467</v>
      </c>
    </row>
    <row r="201" spans="1:5" ht="12.75">
      <c r="A201" s="16" t="s">
        <v>1327</v>
      </c>
      <c r="B201" s="4" t="s">
        <v>727</v>
      </c>
      <c r="C201" s="4" t="s">
        <v>603</v>
      </c>
      <c r="D201" s="4" t="s">
        <v>74</v>
      </c>
      <c r="E201" s="20" t="s">
        <v>1468</v>
      </c>
    </row>
    <row r="202" spans="1:5" ht="12.75">
      <c r="A202" s="16" t="s">
        <v>1338</v>
      </c>
      <c r="B202" s="4" t="s">
        <v>727</v>
      </c>
      <c r="C202" s="4" t="s">
        <v>606</v>
      </c>
      <c r="D202" s="4" t="s">
        <v>313</v>
      </c>
      <c r="E202" s="20" t="s">
        <v>1469</v>
      </c>
    </row>
    <row r="203" spans="1:5" ht="12.75">
      <c r="A203" s="16" t="s">
        <v>1357</v>
      </c>
      <c r="B203" s="4" t="s">
        <v>730</v>
      </c>
      <c r="C203" s="4" t="s">
        <v>654</v>
      </c>
      <c r="D203" s="4" t="s">
        <v>113</v>
      </c>
      <c r="E203" s="20" t="s">
        <v>1470</v>
      </c>
    </row>
    <row r="204" spans="1:5" ht="12.75">
      <c r="A204" s="16" t="s">
        <v>322</v>
      </c>
      <c r="B204" s="4" t="s">
        <v>727</v>
      </c>
      <c r="C204" s="4" t="s">
        <v>606</v>
      </c>
      <c r="D204" s="4" t="s">
        <v>56</v>
      </c>
      <c r="E204" s="20" t="s">
        <v>1471</v>
      </c>
    </row>
    <row r="205" spans="1:5" ht="12.75">
      <c r="A205" s="16" t="s">
        <v>538</v>
      </c>
      <c r="B205" s="4" t="s">
        <v>727</v>
      </c>
      <c r="C205" s="4" t="s">
        <v>649</v>
      </c>
      <c r="D205" s="4" t="s">
        <v>80</v>
      </c>
      <c r="E205" s="20" t="s">
        <v>1472</v>
      </c>
    </row>
    <row r="206" spans="1:5" ht="12.75">
      <c r="A206" s="16" t="s">
        <v>572</v>
      </c>
      <c r="B206" s="4" t="s">
        <v>727</v>
      </c>
      <c r="C206" s="4" t="s">
        <v>657</v>
      </c>
      <c r="D206" s="4" t="s">
        <v>451</v>
      </c>
      <c r="E206" s="20" t="s">
        <v>1473</v>
      </c>
    </row>
    <row r="207" spans="1:5" ht="12.75">
      <c r="A207" s="16" t="s">
        <v>1090</v>
      </c>
      <c r="B207" s="4" t="s">
        <v>727</v>
      </c>
      <c r="C207" s="4" t="s">
        <v>662</v>
      </c>
      <c r="D207" s="4" t="s">
        <v>57</v>
      </c>
      <c r="E207" s="20" t="s">
        <v>1474</v>
      </c>
    </row>
    <row r="208" spans="1:5" ht="12.75">
      <c r="A208" s="16" t="s">
        <v>1336</v>
      </c>
      <c r="B208" s="4" t="s">
        <v>633</v>
      </c>
      <c r="C208" s="4" t="s">
        <v>606</v>
      </c>
      <c r="D208" s="4" t="s">
        <v>57</v>
      </c>
      <c r="E208" s="20" t="s">
        <v>1475</v>
      </c>
    </row>
    <row r="209" spans="1:5" ht="12.75">
      <c r="A209" s="16" t="s">
        <v>1398</v>
      </c>
      <c r="B209" s="4" t="s">
        <v>633</v>
      </c>
      <c r="C209" s="4" t="s">
        <v>662</v>
      </c>
      <c r="D209" s="4" t="s">
        <v>63</v>
      </c>
      <c r="E209" s="20" t="s">
        <v>1476</v>
      </c>
    </row>
    <row r="210" spans="1:5" ht="12.75">
      <c r="A210" s="16" t="s">
        <v>1187</v>
      </c>
      <c r="B210" s="4" t="s">
        <v>633</v>
      </c>
      <c r="C210" s="4" t="s">
        <v>665</v>
      </c>
      <c r="D210" s="4" t="s">
        <v>67</v>
      </c>
      <c r="E210" s="20" t="s">
        <v>1477</v>
      </c>
    </row>
    <row r="211" spans="1:5" ht="12.75">
      <c r="A211" s="16" t="s">
        <v>568</v>
      </c>
      <c r="B211" s="4" t="s">
        <v>633</v>
      </c>
      <c r="C211" s="4" t="s">
        <v>657</v>
      </c>
      <c r="D211" s="4" t="s">
        <v>63</v>
      </c>
      <c r="E211" s="20" t="s">
        <v>1478</v>
      </c>
    </row>
    <row r="212" spans="1:5" ht="12.75">
      <c r="A212" s="16" t="s">
        <v>495</v>
      </c>
      <c r="B212" s="4" t="s">
        <v>727</v>
      </c>
      <c r="C212" s="4" t="s">
        <v>662</v>
      </c>
      <c r="D212" s="4" t="s">
        <v>44</v>
      </c>
      <c r="E212" s="20" t="s">
        <v>1479</v>
      </c>
    </row>
    <row r="213" spans="1:5" ht="12.75">
      <c r="A213" s="16" t="s">
        <v>1149</v>
      </c>
      <c r="B213" s="4" t="s">
        <v>730</v>
      </c>
      <c r="C213" s="4" t="s">
        <v>649</v>
      </c>
      <c r="D213" s="4" t="s">
        <v>42</v>
      </c>
      <c r="E213" s="20" t="s">
        <v>1480</v>
      </c>
    </row>
    <row r="214" spans="1:5" ht="12.75">
      <c r="A214" s="16" t="s">
        <v>533</v>
      </c>
      <c r="B214" s="4" t="s">
        <v>633</v>
      </c>
      <c r="C214" s="4" t="s">
        <v>649</v>
      </c>
      <c r="D214" s="4" t="s">
        <v>56</v>
      </c>
      <c r="E214" s="20" t="s">
        <v>1481</v>
      </c>
    </row>
  </sheetData>
  <sheetProtection/>
  <mergeCells count="27">
    <mergeCell ref="A104:L104"/>
    <mergeCell ref="A29:L29"/>
    <mergeCell ref="A37:L37"/>
    <mergeCell ref="A41:L41"/>
    <mergeCell ref="A45:L45"/>
    <mergeCell ref="A112:L112"/>
    <mergeCell ref="A51:L51"/>
    <mergeCell ref="A59:L59"/>
    <mergeCell ref="A70:L70"/>
    <mergeCell ref="A86:L86"/>
    <mergeCell ref="A96:L96"/>
    <mergeCell ref="M3:M4"/>
    <mergeCell ref="A5:L5"/>
    <mergeCell ref="A8:L8"/>
    <mergeCell ref="A11:L11"/>
    <mergeCell ref="A15:L15"/>
    <mergeCell ref="A23:L2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9"/>
  <sheetViews>
    <sheetView zoomScale="74" zoomScaleNormal="74" zoomScalePageLayoutView="0" workbookViewId="0" topLeftCell="A1">
      <selection activeCell="A1" sqref="A1:U3"/>
    </sheetView>
  </sheetViews>
  <sheetFormatPr defaultColWidth="11.375" defaultRowHeight="12.75"/>
  <cols>
    <col min="1" max="1" width="24.75390625" style="0" customWidth="1"/>
    <col min="2" max="2" width="27.375" style="0" customWidth="1"/>
    <col min="3" max="3" width="16.75390625" style="0" customWidth="1"/>
    <col min="4" max="5" width="11.375" style="0" customWidth="1"/>
    <col min="6" max="6" width="32.375" style="0" customWidth="1"/>
    <col min="7" max="7" width="7.375" style="0" customWidth="1"/>
    <col min="8" max="9" width="7.875" style="0" customWidth="1"/>
    <col min="10" max="10" width="7.00390625" style="0" customWidth="1"/>
    <col min="11" max="11" width="7.125" style="0" customWidth="1"/>
    <col min="12" max="13" width="7.375" style="0" customWidth="1"/>
    <col min="14" max="14" width="7.25390625" style="0" customWidth="1"/>
    <col min="15" max="15" width="7.75390625" style="0" customWidth="1"/>
    <col min="16" max="16" width="7.875" style="0" customWidth="1"/>
    <col min="17" max="17" width="8.125" style="0" customWidth="1"/>
    <col min="18" max="18" width="7.375" style="0" customWidth="1"/>
    <col min="19" max="19" width="8.125" style="0" customWidth="1"/>
    <col min="20" max="20" width="11.375" style="0" customWidth="1"/>
    <col min="21" max="21" width="17.875" style="0" customWidth="1"/>
  </cols>
  <sheetData>
    <row r="1" spans="1:21" ht="57.75" customHeight="1">
      <c r="A1" s="125" t="s">
        <v>3570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7"/>
    </row>
    <row r="2" spans="1:21" ht="12.7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</row>
    <row r="3" spans="1:21" ht="60" customHeight="1" thickBo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/>
    </row>
    <row r="4" spans="1:21" ht="15">
      <c r="A4" s="108" t="s">
        <v>0</v>
      </c>
      <c r="B4" s="110" t="s">
        <v>1482</v>
      </c>
      <c r="C4" s="112" t="s">
        <v>1483</v>
      </c>
      <c r="D4" s="112" t="s">
        <v>8</v>
      </c>
      <c r="E4" s="112" t="s">
        <v>1490</v>
      </c>
      <c r="F4" s="112" t="s">
        <v>1491</v>
      </c>
      <c r="G4" s="120" t="s">
        <v>1</v>
      </c>
      <c r="H4" s="121"/>
      <c r="I4" s="121"/>
      <c r="J4" s="122"/>
      <c r="K4" s="120" t="s">
        <v>2</v>
      </c>
      <c r="L4" s="121"/>
      <c r="M4" s="121"/>
      <c r="N4" s="122"/>
      <c r="O4" s="120" t="s">
        <v>3</v>
      </c>
      <c r="P4" s="121"/>
      <c r="Q4" s="121"/>
      <c r="R4" s="122"/>
      <c r="S4" s="123" t="s">
        <v>4</v>
      </c>
      <c r="T4" s="123" t="s">
        <v>6</v>
      </c>
      <c r="U4" s="118" t="s">
        <v>5</v>
      </c>
    </row>
    <row r="5" spans="1:21" ht="15" thickBot="1">
      <c r="A5" s="109"/>
      <c r="B5" s="111"/>
      <c r="C5" s="111"/>
      <c r="D5" s="111"/>
      <c r="E5" s="111"/>
      <c r="F5" s="111"/>
      <c r="G5" s="28" t="s">
        <v>1585</v>
      </c>
      <c r="H5" s="28" t="s">
        <v>1586</v>
      </c>
      <c r="I5" s="28" t="s">
        <v>1587</v>
      </c>
      <c r="J5" s="28" t="s">
        <v>7</v>
      </c>
      <c r="K5" s="28" t="s">
        <v>1585</v>
      </c>
      <c r="L5" s="28" t="s">
        <v>1586</v>
      </c>
      <c r="M5" s="28" t="s">
        <v>1587</v>
      </c>
      <c r="N5" s="28" t="s">
        <v>7</v>
      </c>
      <c r="O5" s="28" t="s">
        <v>1585</v>
      </c>
      <c r="P5" s="28" t="s">
        <v>1586</v>
      </c>
      <c r="Q5" s="28" t="s">
        <v>1587</v>
      </c>
      <c r="R5" s="28" t="s">
        <v>7</v>
      </c>
      <c r="S5" s="124"/>
      <c r="T5" s="124"/>
      <c r="U5" s="119"/>
    </row>
    <row r="6" spans="1:21" ht="15">
      <c r="A6" s="117" t="s">
        <v>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30"/>
    </row>
    <row r="7" spans="1:21" ht="12.75">
      <c r="A7" s="31" t="s">
        <v>1610</v>
      </c>
      <c r="B7" s="32" t="s">
        <v>1611</v>
      </c>
      <c r="C7" s="32" t="s">
        <v>1612</v>
      </c>
      <c r="D7" s="32" t="s">
        <v>1613</v>
      </c>
      <c r="E7" s="32" t="s">
        <v>1571</v>
      </c>
      <c r="F7" s="32" t="s">
        <v>1614</v>
      </c>
      <c r="G7" s="56" t="s">
        <v>11</v>
      </c>
      <c r="H7" s="32" t="s">
        <v>11</v>
      </c>
      <c r="I7" s="32" t="s">
        <v>12</v>
      </c>
      <c r="J7" s="56"/>
      <c r="K7" s="56" t="s">
        <v>1615</v>
      </c>
      <c r="L7" s="32" t="s">
        <v>1615</v>
      </c>
      <c r="M7" s="32" t="s">
        <v>1616</v>
      </c>
      <c r="N7" s="56"/>
      <c r="O7" s="32" t="s">
        <v>146</v>
      </c>
      <c r="P7" s="32" t="s">
        <v>152</v>
      </c>
      <c r="Q7" s="56" t="s">
        <v>173</v>
      </c>
      <c r="R7" s="56"/>
      <c r="S7" s="41" t="s">
        <v>1617</v>
      </c>
      <c r="T7" s="32" t="s">
        <v>1618</v>
      </c>
      <c r="U7" s="32" t="s">
        <v>1619</v>
      </c>
    </row>
    <row r="8" spans="1:21" ht="12.75">
      <c r="A8" s="33"/>
      <c r="B8" s="29"/>
      <c r="C8" s="29"/>
      <c r="D8" s="29"/>
      <c r="E8" s="30"/>
      <c r="F8" s="30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3"/>
      <c r="T8" s="29"/>
      <c r="U8" s="30"/>
    </row>
    <row r="9" spans="1:21" ht="15">
      <c r="A9" s="117" t="s">
        <v>14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30"/>
    </row>
    <row r="10" spans="1:21" ht="12.75">
      <c r="A10" s="31" t="s">
        <v>1620</v>
      </c>
      <c r="B10" s="32" t="s">
        <v>1621</v>
      </c>
      <c r="C10" s="32" t="s">
        <v>15</v>
      </c>
      <c r="D10" s="32" t="s">
        <v>1622</v>
      </c>
      <c r="E10" s="32" t="s">
        <v>16</v>
      </c>
      <c r="F10" s="32" t="s">
        <v>1614</v>
      </c>
      <c r="G10" s="56" t="s">
        <v>17</v>
      </c>
      <c r="H10" s="32" t="s">
        <v>17</v>
      </c>
      <c r="I10" s="56" t="s">
        <v>18</v>
      </c>
      <c r="J10" s="56"/>
      <c r="K10" s="32" t="s">
        <v>19</v>
      </c>
      <c r="L10" s="32" t="s">
        <v>185</v>
      </c>
      <c r="M10" s="56" t="s">
        <v>209</v>
      </c>
      <c r="N10" s="56"/>
      <c r="O10" s="32" t="s">
        <v>20</v>
      </c>
      <c r="P10" s="32" t="s">
        <v>169</v>
      </c>
      <c r="Q10" s="32" t="s">
        <v>225</v>
      </c>
      <c r="R10" s="56"/>
      <c r="S10" s="41" t="s">
        <v>1623</v>
      </c>
      <c r="T10" s="32" t="s">
        <v>1624</v>
      </c>
      <c r="U10" s="32" t="s">
        <v>1625</v>
      </c>
    </row>
    <row r="11" spans="1:21" ht="12.75">
      <c r="A11" s="33"/>
      <c r="B11" s="29"/>
      <c r="C11" s="29"/>
      <c r="D11" s="29"/>
      <c r="E11" s="30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3"/>
      <c r="T11" s="29"/>
      <c r="U11" s="30"/>
    </row>
    <row r="12" spans="1:21" ht="15">
      <c r="A12" s="117" t="s">
        <v>21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30"/>
    </row>
    <row r="13" spans="1:21" ht="12.75">
      <c r="A13" s="31" t="s">
        <v>1626</v>
      </c>
      <c r="B13" s="32" t="s">
        <v>1627</v>
      </c>
      <c r="C13" s="32" t="s">
        <v>22</v>
      </c>
      <c r="D13" s="32" t="s">
        <v>1628</v>
      </c>
      <c r="E13" s="32" t="s">
        <v>23</v>
      </c>
      <c r="F13" s="32" t="s">
        <v>1629</v>
      </c>
      <c r="G13" s="32" t="s">
        <v>20</v>
      </c>
      <c r="H13" s="32" t="s">
        <v>24</v>
      </c>
      <c r="I13" s="56" t="s">
        <v>25</v>
      </c>
      <c r="J13" s="56"/>
      <c r="K13" s="32" t="s">
        <v>26</v>
      </c>
      <c r="L13" s="32" t="s">
        <v>781</v>
      </c>
      <c r="M13" s="56" t="s">
        <v>37</v>
      </c>
      <c r="N13" s="56"/>
      <c r="O13" s="32" t="s">
        <v>25</v>
      </c>
      <c r="P13" s="32" t="s">
        <v>33</v>
      </c>
      <c r="Q13" s="56" t="s">
        <v>189</v>
      </c>
      <c r="R13" s="56"/>
      <c r="S13" s="41" t="s">
        <v>1630</v>
      </c>
      <c r="T13" s="32" t="s">
        <v>1631</v>
      </c>
      <c r="U13" s="32" t="s">
        <v>27</v>
      </c>
    </row>
    <row r="14" spans="1:21" ht="12.75">
      <c r="A14" s="33"/>
      <c r="B14" s="29"/>
      <c r="C14" s="29"/>
      <c r="D14" s="29"/>
      <c r="E14" s="30"/>
      <c r="F14" s="30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3"/>
      <c r="T14" s="29"/>
      <c r="U14" s="30"/>
    </row>
    <row r="15" spans="1:21" ht="15">
      <c r="A15" s="117" t="s">
        <v>28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30"/>
    </row>
    <row r="16" spans="1:21" ht="12.75">
      <c r="A16" s="31" t="s">
        <v>1632</v>
      </c>
      <c r="B16" s="32" t="s">
        <v>1633</v>
      </c>
      <c r="C16" s="32" t="s">
        <v>29</v>
      </c>
      <c r="D16" s="32" t="s">
        <v>1634</v>
      </c>
      <c r="E16" s="32" t="s">
        <v>16</v>
      </c>
      <c r="F16" s="32" t="s">
        <v>1492</v>
      </c>
      <c r="G16" s="67" t="s">
        <v>30</v>
      </c>
      <c r="H16" s="67" t="s">
        <v>30</v>
      </c>
      <c r="I16" s="67" t="s">
        <v>30</v>
      </c>
      <c r="J16" s="67"/>
      <c r="K16" s="67" t="s">
        <v>82</v>
      </c>
      <c r="L16" s="67" t="s">
        <v>82</v>
      </c>
      <c r="M16" s="67" t="s">
        <v>82</v>
      </c>
      <c r="N16" s="67"/>
      <c r="O16" s="67" t="s">
        <v>82</v>
      </c>
      <c r="P16" s="67"/>
      <c r="Q16" s="67"/>
      <c r="R16" s="67"/>
      <c r="S16" s="69" t="s">
        <v>1635</v>
      </c>
      <c r="T16" s="68" t="s">
        <v>1636</v>
      </c>
      <c r="U16" s="68" t="s">
        <v>1517</v>
      </c>
    </row>
    <row r="17" spans="1:21" ht="12.75">
      <c r="A17" s="33"/>
      <c r="B17" s="29"/>
      <c r="C17" s="29"/>
      <c r="D17" s="29"/>
      <c r="E17" s="30"/>
      <c r="F17" s="30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3"/>
      <c r="T17" s="29"/>
      <c r="U17" s="30"/>
    </row>
    <row r="18" spans="1:21" ht="15">
      <c r="A18" s="117" t="s">
        <v>32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30"/>
    </row>
    <row r="19" spans="1:21" ht="12.75">
      <c r="A19" s="42" t="s">
        <v>1637</v>
      </c>
      <c r="B19" s="43" t="s">
        <v>1638</v>
      </c>
      <c r="C19" s="43" t="s">
        <v>1639</v>
      </c>
      <c r="D19" s="43" t="s">
        <v>1640</v>
      </c>
      <c r="E19" s="43" t="s">
        <v>1571</v>
      </c>
      <c r="F19" s="43" t="s">
        <v>1492</v>
      </c>
      <c r="G19" s="62" t="s">
        <v>33</v>
      </c>
      <c r="H19" s="62" t="s">
        <v>33</v>
      </c>
      <c r="I19" s="61" t="s">
        <v>33</v>
      </c>
      <c r="J19" s="62"/>
      <c r="K19" s="61" t="s">
        <v>50</v>
      </c>
      <c r="L19" s="61" t="s">
        <v>17</v>
      </c>
      <c r="M19" s="61" t="s">
        <v>110</v>
      </c>
      <c r="N19" s="62"/>
      <c r="O19" s="61" t="s">
        <v>58</v>
      </c>
      <c r="P19" s="61" t="s">
        <v>38</v>
      </c>
      <c r="Q19" s="61" t="s">
        <v>35</v>
      </c>
      <c r="R19" s="62"/>
      <c r="S19" s="63" t="s">
        <v>1641</v>
      </c>
      <c r="T19" s="61" t="s">
        <v>1642</v>
      </c>
      <c r="U19" s="61" t="s">
        <v>27</v>
      </c>
    </row>
    <row r="20" spans="1:21" ht="12.75">
      <c r="A20" s="45" t="s">
        <v>1643</v>
      </c>
      <c r="B20" s="46" t="s">
        <v>1644</v>
      </c>
      <c r="C20" s="46" t="s">
        <v>39</v>
      </c>
      <c r="D20" s="46" t="s">
        <v>1645</v>
      </c>
      <c r="E20" s="46" t="s">
        <v>1571</v>
      </c>
      <c r="F20" s="46" t="s">
        <v>1646</v>
      </c>
      <c r="G20" s="70" t="s">
        <v>33</v>
      </c>
      <c r="H20" s="70" t="s">
        <v>35</v>
      </c>
      <c r="I20" s="70" t="s">
        <v>36</v>
      </c>
      <c r="J20" s="71"/>
      <c r="K20" s="70" t="s">
        <v>37</v>
      </c>
      <c r="L20" s="71" t="s">
        <v>31</v>
      </c>
      <c r="M20" s="71" t="s">
        <v>31</v>
      </c>
      <c r="N20" s="71"/>
      <c r="O20" s="70" t="s">
        <v>254</v>
      </c>
      <c r="P20" s="70" t="s">
        <v>130</v>
      </c>
      <c r="Q20" s="71" t="s">
        <v>35</v>
      </c>
      <c r="R20" s="71"/>
      <c r="S20" s="72" t="s">
        <v>1647</v>
      </c>
      <c r="T20" s="70" t="s">
        <v>1648</v>
      </c>
      <c r="U20" s="70" t="s">
        <v>1649</v>
      </c>
    </row>
    <row r="21" spans="1:21" ht="12.75">
      <c r="A21" s="48" t="s">
        <v>1650</v>
      </c>
      <c r="B21" s="49" t="s">
        <v>1651</v>
      </c>
      <c r="C21" s="49" t="s">
        <v>34</v>
      </c>
      <c r="D21" s="49" t="s">
        <v>1652</v>
      </c>
      <c r="E21" s="49" t="s">
        <v>1653</v>
      </c>
      <c r="F21" s="49" t="s">
        <v>1654</v>
      </c>
      <c r="G21" s="65" t="s">
        <v>35</v>
      </c>
      <c r="H21" s="65" t="s">
        <v>36</v>
      </c>
      <c r="I21" s="65" t="s">
        <v>36</v>
      </c>
      <c r="J21" s="65"/>
      <c r="K21" s="65" t="s">
        <v>82</v>
      </c>
      <c r="L21" s="65" t="s">
        <v>82</v>
      </c>
      <c r="M21" s="65" t="s">
        <v>82</v>
      </c>
      <c r="N21" s="65"/>
      <c r="O21" s="65" t="s">
        <v>82</v>
      </c>
      <c r="P21" s="65" t="s">
        <v>189</v>
      </c>
      <c r="Q21" s="65" t="s">
        <v>189</v>
      </c>
      <c r="R21" s="65"/>
      <c r="S21" s="66" t="s">
        <v>1635</v>
      </c>
      <c r="T21" s="64" t="s">
        <v>1636</v>
      </c>
      <c r="U21" s="64" t="s">
        <v>27</v>
      </c>
    </row>
    <row r="22" spans="1:21" ht="12.75">
      <c r="A22" s="33"/>
      <c r="B22" s="29"/>
      <c r="C22" s="29"/>
      <c r="D22" s="29"/>
      <c r="E22" s="30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3"/>
      <c r="T22" s="29"/>
      <c r="U22" s="30"/>
    </row>
    <row r="23" spans="1:21" ht="15">
      <c r="A23" s="117" t="s">
        <v>40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30"/>
    </row>
    <row r="24" spans="1:21" ht="12.75">
      <c r="A24" s="31" t="s">
        <v>1655</v>
      </c>
      <c r="B24" s="32" t="s">
        <v>1656</v>
      </c>
      <c r="C24" s="32" t="s">
        <v>1657</v>
      </c>
      <c r="D24" s="32" t="s">
        <v>1658</v>
      </c>
      <c r="E24" s="32" t="s">
        <v>16</v>
      </c>
      <c r="F24" s="32" t="s">
        <v>41</v>
      </c>
      <c r="G24" s="67" t="s">
        <v>42</v>
      </c>
      <c r="H24" s="68" t="s">
        <v>43</v>
      </c>
      <c r="I24" s="67" t="s">
        <v>44</v>
      </c>
      <c r="J24" s="67"/>
      <c r="K24" s="68" t="s">
        <v>45</v>
      </c>
      <c r="L24" s="67" t="s">
        <v>285</v>
      </c>
      <c r="M24" s="67" t="s">
        <v>285</v>
      </c>
      <c r="N24" s="67"/>
      <c r="O24" s="68" t="s">
        <v>42</v>
      </c>
      <c r="P24" s="68" t="s">
        <v>48</v>
      </c>
      <c r="Q24" s="67" t="s">
        <v>44</v>
      </c>
      <c r="R24" s="67"/>
      <c r="S24" s="69" t="s">
        <v>1659</v>
      </c>
      <c r="T24" s="68" t="s">
        <v>1660</v>
      </c>
      <c r="U24" s="68" t="s">
        <v>1555</v>
      </c>
    </row>
    <row r="25" spans="1:21" ht="12.75">
      <c r="A25" s="33"/>
      <c r="B25" s="29"/>
      <c r="C25" s="29"/>
      <c r="D25" s="29"/>
      <c r="E25" s="30"/>
      <c r="F25" s="30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3"/>
      <c r="T25" s="29"/>
      <c r="U25" s="30"/>
    </row>
    <row r="26" spans="1:21" ht="15">
      <c r="A26" s="117" t="s">
        <v>46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30"/>
    </row>
    <row r="27" spans="1:21" ht="12.75">
      <c r="A27" s="31" t="s">
        <v>1661</v>
      </c>
      <c r="B27" s="32" t="s">
        <v>1662</v>
      </c>
      <c r="C27" s="32" t="s">
        <v>1663</v>
      </c>
      <c r="D27" s="32" t="s">
        <v>1664</v>
      </c>
      <c r="E27" s="32" t="s">
        <v>16</v>
      </c>
      <c r="F27" s="32" t="s">
        <v>47</v>
      </c>
      <c r="G27" s="68" t="s">
        <v>42</v>
      </c>
      <c r="H27" s="68" t="s">
        <v>48</v>
      </c>
      <c r="I27" s="68" t="s">
        <v>49</v>
      </c>
      <c r="J27" s="67"/>
      <c r="K27" s="68" t="s">
        <v>50</v>
      </c>
      <c r="L27" s="68" t="s">
        <v>208</v>
      </c>
      <c r="M27" s="68" t="s">
        <v>20</v>
      </c>
      <c r="N27" s="67"/>
      <c r="O27" s="68" t="s">
        <v>48</v>
      </c>
      <c r="P27" s="68" t="s">
        <v>284</v>
      </c>
      <c r="Q27" s="68" t="s">
        <v>56</v>
      </c>
      <c r="R27" s="67"/>
      <c r="S27" s="69" t="s">
        <v>1665</v>
      </c>
      <c r="T27" s="68" t="s">
        <v>1666</v>
      </c>
      <c r="U27" s="68" t="s">
        <v>27</v>
      </c>
    </row>
    <row r="28" spans="1:21" ht="12.75">
      <c r="A28" s="33"/>
      <c r="B28" s="29"/>
      <c r="C28" s="29"/>
      <c r="D28" s="29"/>
      <c r="E28" s="30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3"/>
      <c r="T28" s="29"/>
      <c r="U28" s="30"/>
    </row>
    <row r="29" spans="1:21" ht="15">
      <c r="A29" s="117" t="s">
        <v>51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30"/>
    </row>
    <row r="30" spans="1:21" ht="12.75">
      <c r="A30" s="31" t="s">
        <v>1667</v>
      </c>
      <c r="B30" s="32" t="s">
        <v>1668</v>
      </c>
      <c r="C30" s="32" t="s">
        <v>52</v>
      </c>
      <c r="D30" s="32" t="s">
        <v>1669</v>
      </c>
      <c r="E30" s="32" t="s">
        <v>1670</v>
      </c>
      <c r="F30" s="32" t="s">
        <v>1671</v>
      </c>
      <c r="G30" s="67" t="s">
        <v>20</v>
      </c>
      <c r="H30" s="68" t="s">
        <v>20</v>
      </c>
      <c r="I30" s="68" t="s">
        <v>24</v>
      </c>
      <c r="J30" s="67"/>
      <c r="K30" s="67" t="s">
        <v>37</v>
      </c>
      <c r="L30" s="68" t="s">
        <v>37</v>
      </c>
      <c r="M30" s="67" t="s">
        <v>1227</v>
      </c>
      <c r="N30" s="67"/>
      <c r="O30" s="68" t="s">
        <v>35</v>
      </c>
      <c r="P30" s="67" t="s">
        <v>36</v>
      </c>
      <c r="Q30" s="67" t="s">
        <v>59</v>
      </c>
      <c r="R30" s="67"/>
      <c r="S30" s="69" t="s">
        <v>1672</v>
      </c>
      <c r="T30" s="68" t="s">
        <v>1673</v>
      </c>
      <c r="U30" s="68" t="s">
        <v>1555</v>
      </c>
    </row>
    <row r="31" spans="1:21" ht="12.75">
      <c r="A31" s="33"/>
      <c r="B31" s="29"/>
      <c r="C31" s="29"/>
      <c r="D31" s="29"/>
      <c r="E31" s="30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3"/>
      <c r="T31" s="29"/>
      <c r="U31" s="30"/>
    </row>
    <row r="32" spans="1:21" ht="15">
      <c r="A32" s="117" t="s">
        <v>32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30"/>
    </row>
    <row r="33" spans="1:21" ht="12.75">
      <c r="A33" s="42" t="s">
        <v>1674</v>
      </c>
      <c r="B33" s="43" t="s">
        <v>1675</v>
      </c>
      <c r="C33" s="43" t="s">
        <v>53</v>
      </c>
      <c r="D33" s="43" t="s">
        <v>1676</v>
      </c>
      <c r="E33" s="43" t="s">
        <v>16</v>
      </c>
      <c r="F33" s="43" t="s">
        <v>1677</v>
      </c>
      <c r="G33" s="61" t="s">
        <v>35</v>
      </c>
      <c r="H33" s="61" t="s">
        <v>109</v>
      </c>
      <c r="I33" s="61" t="s">
        <v>42</v>
      </c>
      <c r="J33" s="62"/>
      <c r="K33" s="61" t="s">
        <v>26</v>
      </c>
      <c r="L33" s="61" t="s">
        <v>31</v>
      </c>
      <c r="M33" s="62" t="s">
        <v>144</v>
      </c>
      <c r="N33" s="62"/>
      <c r="O33" s="61" t="s">
        <v>25</v>
      </c>
      <c r="P33" s="61" t="s">
        <v>38</v>
      </c>
      <c r="Q33" s="61" t="s">
        <v>36</v>
      </c>
      <c r="R33" s="62"/>
      <c r="S33" s="63" t="s">
        <v>1678</v>
      </c>
      <c r="T33" s="61" t="s">
        <v>1679</v>
      </c>
      <c r="U33" s="61" t="s">
        <v>27</v>
      </c>
    </row>
    <row r="34" spans="1:21" ht="12.75">
      <c r="A34" s="48" t="s">
        <v>1680</v>
      </c>
      <c r="B34" s="49" t="s">
        <v>1681</v>
      </c>
      <c r="C34" s="49" t="s">
        <v>1682</v>
      </c>
      <c r="D34" s="49" t="s">
        <v>1683</v>
      </c>
      <c r="E34" s="49" t="s">
        <v>16</v>
      </c>
      <c r="F34" s="49" t="s">
        <v>1684</v>
      </c>
      <c r="G34" s="64" t="s">
        <v>44</v>
      </c>
      <c r="H34" s="64" t="s">
        <v>56</v>
      </c>
      <c r="I34" s="65" t="s">
        <v>88</v>
      </c>
      <c r="J34" s="65"/>
      <c r="K34" s="64" t="s">
        <v>216</v>
      </c>
      <c r="L34" s="65" t="s">
        <v>254</v>
      </c>
      <c r="M34" s="64" t="s">
        <v>58</v>
      </c>
      <c r="N34" s="65"/>
      <c r="O34" s="64" t="s">
        <v>48</v>
      </c>
      <c r="P34" s="65"/>
      <c r="Q34" s="65"/>
      <c r="R34" s="65"/>
      <c r="S34" s="66" t="s">
        <v>1685</v>
      </c>
      <c r="T34" s="64" t="s">
        <v>1686</v>
      </c>
      <c r="U34" s="64" t="s">
        <v>27</v>
      </c>
    </row>
    <row r="35" spans="1:21" ht="12.75">
      <c r="A35" s="33"/>
      <c r="B35" s="29"/>
      <c r="C35" s="29"/>
      <c r="D35" s="29"/>
      <c r="E35" s="30"/>
      <c r="F35" s="30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3"/>
      <c r="T35" s="29"/>
      <c r="U35" s="30"/>
    </row>
    <row r="36" spans="1:21" ht="15">
      <c r="A36" s="117" t="s">
        <v>40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30"/>
    </row>
    <row r="37" spans="1:22" ht="12.75">
      <c r="A37" s="42" t="s">
        <v>1687</v>
      </c>
      <c r="B37" s="43" t="s">
        <v>1688</v>
      </c>
      <c r="C37" s="43" t="s">
        <v>1689</v>
      </c>
      <c r="D37" s="43" t="s">
        <v>1690</v>
      </c>
      <c r="E37" s="43" t="s">
        <v>1653</v>
      </c>
      <c r="F37" s="43" t="s">
        <v>1691</v>
      </c>
      <c r="G37" s="43" t="s">
        <v>44</v>
      </c>
      <c r="H37" s="43" t="s">
        <v>56</v>
      </c>
      <c r="I37" s="57" t="s">
        <v>57</v>
      </c>
      <c r="J37" s="57"/>
      <c r="K37" s="43" t="s">
        <v>33</v>
      </c>
      <c r="L37" s="57" t="s">
        <v>35</v>
      </c>
      <c r="M37" s="57" t="s">
        <v>35</v>
      </c>
      <c r="N37" s="57"/>
      <c r="O37" s="43" t="s">
        <v>57</v>
      </c>
      <c r="P37" s="43" t="s">
        <v>74</v>
      </c>
      <c r="Q37" s="57" t="s">
        <v>65</v>
      </c>
      <c r="R37" s="57"/>
      <c r="S37" s="44" t="s">
        <v>1692</v>
      </c>
      <c r="T37" s="43" t="s">
        <v>1693</v>
      </c>
      <c r="U37" s="43" t="s">
        <v>27</v>
      </c>
      <c r="V37" s="58"/>
    </row>
    <row r="38" spans="1:22" ht="12.75">
      <c r="A38" s="45" t="s">
        <v>1694</v>
      </c>
      <c r="B38" s="46" t="s">
        <v>1695</v>
      </c>
      <c r="C38" s="46" t="s">
        <v>54</v>
      </c>
      <c r="D38" s="46" t="s">
        <v>1696</v>
      </c>
      <c r="E38" s="46" t="s">
        <v>1571</v>
      </c>
      <c r="F38" s="46" t="s">
        <v>55</v>
      </c>
      <c r="G38" s="46" t="s">
        <v>109</v>
      </c>
      <c r="H38" s="46" t="s">
        <v>99</v>
      </c>
      <c r="I38" s="59" t="s">
        <v>121</v>
      </c>
      <c r="J38" s="59"/>
      <c r="K38" s="59" t="s">
        <v>17</v>
      </c>
      <c r="L38" s="46" t="s">
        <v>268</v>
      </c>
      <c r="M38" s="46" t="s">
        <v>24</v>
      </c>
      <c r="N38" s="59"/>
      <c r="O38" s="46" t="s">
        <v>309</v>
      </c>
      <c r="P38" s="46" t="s">
        <v>56</v>
      </c>
      <c r="Q38" s="46" t="s">
        <v>113</v>
      </c>
      <c r="R38" s="59"/>
      <c r="S38" s="47" t="s">
        <v>1697</v>
      </c>
      <c r="T38" s="46" t="s">
        <v>1698</v>
      </c>
      <c r="U38" s="46" t="s">
        <v>1699</v>
      </c>
      <c r="V38" s="58"/>
    </row>
    <row r="39" spans="1:22" ht="12.75">
      <c r="A39" s="45" t="s">
        <v>1700</v>
      </c>
      <c r="B39" s="46" t="s">
        <v>1701</v>
      </c>
      <c r="C39" s="46" t="s">
        <v>1702</v>
      </c>
      <c r="D39" s="46" t="s">
        <v>1703</v>
      </c>
      <c r="E39" s="46" t="s">
        <v>23</v>
      </c>
      <c r="F39" s="46" t="s">
        <v>1529</v>
      </c>
      <c r="G39" s="46" t="s">
        <v>18</v>
      </c>
      <c r="H39" s="46" t="s">
        <v>30</v>
      </c>
      <c r="I39" s="46" t="s">
        <v>58</v>
      </c>
      <c r="J39" s="59"/>
      <c r="K39" s="46" t="s">
        <v>20</v>
      </c>
      <c r="L39" s="46" t="s">
        <v>169</v>
      </c>
      <c r="M39" s="46" t="s">
        <v>225</v>
      </c>
      <c r="N39" s="59"/>
      <c r="O39" s="46" t="s">
        <v>25</v>
      </c>
      <c r="P39" s="46" t="s">
        <v>130</v>
      </c>
      <c r="Q39" s="59"/>
      <c r="R39" s="59"/>
      <c r="S39" s="47" t="s">
        <v>1704</v>
      </c>
      <c r="T39" s="46" t="s">
        <v>1705</v>
      </c>
      <c r="U39" s="46" t="s">
        <v>27</v>
      </c>
      <c r="V39" s="58"/>
    </row>
    <row r="40" spans="1:22" ht="12.75">
      <c r="A40" s="48" t="s">
        <v>1706</v>
      </c>
      <c r="B40" s="49" t="s">
        <v>1707</v>
      </c>
      <c r="C40" s="49" t="s">
        <v>1708</v>
      </c>
      <c r="D40" s="49" t="s">
        <v>1709</v>
      </c>
      <c r="E40" s="49" t="s">
        <v>23</v>
      </c>
      <c r="F40" s="49" t="s">
        <v>1529</v>
      </c>
      <c r="G40" s="49" t="s">
        <v>59</v>
      </c>
      <c r="H40" s="49" t="s">
        <v>99</v>
      </c>
      <c r="I40" s="49" t="s">
        <v>121</v>
      </c>
      <c r="J40" s="60"/>
      <c r="K40" s="49" t="s">
        <v>24</v>
      </c>
      <c r="L40" s="49" t="s">
        <v>30</v>
      </c>
      <c r="M40" s="49" t="s">
        <v>25</v>
      </c>
      <c r="N40" s="60"/>
      <c r="O40" s="49" t="s">
        <v>59</v>
      </c>
      <c r="P40" s="49" t="s">
        <v>99</v>
      </c>
      <c r="Q40" s="60" t="s">
        <v>121</v>
      </c>
      <c r="R40" s="60"/>
      <c r="S40" s="50" t="s">
        <v>1710</v>
      </c>
      <c r="T40" s="49" t="s">
        <v>1711</v>
      </c>
      <c r="U40" s="49" t="s">
        <v>27</v>
      </c>
      <c r="V40" s="58"/>
    </row>
    <row r="41" spans="1:21" ht="12.75">
      <c r="A41" s="33"/>
      <c r="B41" s="29"/>
      <c r="C41" s="29"/>
      <c r="D41" s="29"/>
      <c r="E41" s="30"/>
      <c r="F41" s="30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3"/>
      <c r="T41" s="29"/>
      <c r="U41" s="30"/>
    </row>
    <row r="42" spans="1:21" ht="15">
      <c r="A42" s="117" t="s">
        <v>46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30"/>
    </row>
    <row r="43" spans="1:22" ht="12.75">
      <c r="A43" s="42" t="s">
        <v>1712</v>
      </c>
      <c r="B43" s="43" t="s">
        <v>1713</v>
      </c>
      <c r="C43" s="43" t="s">
        <v>60</v>
      </c>
      <c r="D43" s="43" t="s">
        <v>1714</v>
      </c>
      <c r="E43" s="43" t="s">
        <v>23</v>
      </c>
      <c r="F43" s="43" t="s">
        <v>1715</v>
      </c>
      <c r="G43" s="57" t="s">
        <v>48</v>
      </c>
      <c r="H43" s="57" t="s">
        <v>48</v>
      </c>
      <c r="I43" s="57" t="s">
        <v>48</v>
      </c>
      <c r="J43" s="57"/>
      <c r="K43" s="57" t="s">
        <v>24</v>
      </c>
      <c r="L43" s="57"/>
      <c r="M43" s="57"/>
      <c r="N43" s="57"/>
      <c r="O43" s="57" t="s">
        <v>44</v>
      </c>
      <c r="P43" s="57"/>
      <c r="Q43" s="57"/>
      <c r="R43" s="57"/>
      <c r="S43" s="44" t="s">
        <v>1635</v>
      </c>
      <c r="T43" s="43" t="s">
        <v>1636</v>
      </c>
      <c r="U43" s="43" t="s">
        <v>27</v>
      </c>
      <c r="V43" s="58"/>
    </row>
    <row r="44" spans="1:22" ht="12.75">
      <c r="A44" s="45" t="s">
        <v>1716</v>
      </c>
      <c r="B44" s="46" t="s">
        <v>1717</v>
      </c>
      <c r="C44" s="46" t="s">
        <v>70</v>
      </c>
      <c r="D44" s="46" t="s">
        <v>1718</v>
      </c>
      <c r="E44" s="46" t="s">
        <v>1719</v>
      </c>
      <c r="F44" s="46" t="s">
        <v>71</v>
      </c>
      <c r="G44" s="46" t="s">
        <v>65</v>
      </c>
      <c r="H44" s="46" t="s">
        <v>72</v>
      </c>
      <c r="I44" s="59" t="s">
        <v>73</v>
      </c>
      <c r="J44" s="59"/>
      <c r="K44" s="46" t="s">
        <v>38</v>
      </c>
      <c r="L44" s="46" t="s">
        <v>59</v>
      </c>
      <c r="M44" s="59" t="s">
        <v>109</v>
      </c>
      <c r="N44" s="59"/>
      <c r="O44" s="46" t="s">
        <v>57</v>
      </c>
      <c r="P44" s="46" t="s">
        <v>65</v>
      </c>
      <c r="Q44" s="59" t="s">
        <v>451</v>
      </c>
      <c r="R44" s="59"/>
      <c r="S44" s="47" t="s">
        <v>1720</v>
      </c>
      <c r="T44" s="46" t="s">
        <v>1721</v>
      </c>
      <c r="U44" s="46" t="s">
        <v>27</v>
      </c>
      <c r="V44" s="58"/>
    </row>
    <row r="45" spans="1:22" ht="12.75">
      <c r="A45" s="45" t="s">
        <v>1722</v>
      </c>
      <c r="B45" s="46" t="s">
        <v>1723</v>
      </c>
      <c r="C45" s="46" t="s">
        <v>75</v>
      </c>
      <c r="D45" s="46" t="s">
        <v>1724</v>
      </c>
      <c r="E45" s="46" t="s">
        <v>1725</v>
      </c>
      <c r="F45" s="46" t="s">
        <v>1726</v>
      </c>
      <c r="G45" s="59" t="s">
        <v>44</v>
      </c>
      <c r="H45" s="46" t="s">
        <v>44</v>
      </c>
      <c r="I45" s="59" t="s">
        <v>74</v>
      </c>
      <c r="J45" s="59"/>
      <c r="K45" s="46" t="s">
        <v>20</v>
      </c>
      <c r="L45" s="46" t="s">
        <v>30</v>
      </c>
      <c r="M45" s="59" t="s">
        <v>58</v>
      </c>
      <c r="N45" s="59"/>
      <c r="O45" s="46" t="s">
        <v>74</v>
      </c>
      <c r="P45" s="59" t="s">
        <v>63</v>
      </c>
      <c r="Q45" s="59" t="s">
        <v>63</v>
      </c>
      <c r="R45" s="59"/>
      <c r="S45" s="47" t="s">
        <v>1727</v>
      </c>
      <c r="T45" s="46" t="s">
        <v>1728</v>
      </c>
      <c r="U45" s="46" t="s">
        <v>27</v>
      </c>
      <c r="V45" s="58"/>
    </row>
    <row r="46" spans="1:22" ht="12.75">
      <c r="A46" s="45" t="s">
        <v>1729</v>
      </c>
      <c r="B46" s="46" t="s">
        <v>1730</v>
      </c>
      <c r="C46" s="46" t="s">
        <v>1731</v>
      </c>
      <c r="D46" s="46" t="s">
        <v>1732</v>
      </c>
      <c r="E46" s="46" t="s">
        <v>16</v>
      </c>
      <c r="F46" s="46" t="s">
        <v>61</v>
      </c>
      <c r="G46" s="59" t="s">
        <v>49</v>
      </c>
      <c r="H46" s="59" t="s">
        <v>49</v>
      </c>
      <c r="I46" s="59" t="s">
        <v>49</v>
      </c>
      <c r="J46" s="59"/>
      <c r="K46" s="59" t="s">
        <v>17</v>
      </c>
      <c r="L46" s="59"/>
      <c r="M46" s="59"/>
      <c r="N46" s="59"/>
      <c r="O46" s="59" t="s">
        <v>44</v>
      </c>
      <c r="P46" s="59"/>
      <c r="Q46" s="59"/>
      <c r="R46" s="59"/>
      <c r="S46" s="47" t="s">
        <v>1635</v>
      </c>
      <c r="T46" s="46" t="s">
        <v>1636</v>
      </c>
      <c r="U46" s="46" t="s">
        <v>27</v>
      </c>
      <c r="V46" s="58"/>
    </row>
    <row r="47" spans="1:22" ht="12.75">
      <c r="A47" s="45" t="s">
        <v>1733</v>
      </c>
      <c r="B47" s="46" t="s">
        <v>1734</v>
      </c>
      <c r="C47" s="46" t="s">
        <v>62</v>
      </c>
      <c r="D47" s="46" t="s">
        <v>1735</v>
      </c>
      <c r="E47" s="46" t="s">
        <v>16</v>
      </c>
      <c r="F47" s="46" t="s">
        <v>1646</v>
      </c>
      <c r="G47" s="59" t="s">
        <v>63</v>
      </c>
      <c r="H47" s="59" t="s">
        <v>63</v>
      </c>
      <c r="I47" s="59" t="s">
        <v>63</v>
      </c>
      <c r="J47" s="59"/>
      <c r="K47" s="59" t="s">
        <v>25</v>
      </c>
      <c r="L47" s="59"/>
      <c r="M47" s="59"/>
      <c r="N47" s="59"/>
      <c r="O47" s="59" t="s">
        <v>57</v>
      </c>
      <c r="P47" s="59"/>
      <c r="Q47" s="59"/>
      <c r="R47" s="59"/>
      <c r="S47" s="47" t="s">
        <v>1635</v>
      </c>
      <c r="T47" s="46" t="s">
        <v>1636</v>
      </c>
      <c r="U47" s="46" t="s">
        <v>1649</v>
      </c>
      <c r="V47" s="58"/>
    </row>
    <row r="48" spans="1:22" ht="12.75">
      <c r="A48" s="45" t="s">
        <v>1736</v>
      </c>
      <c r="B48" s="46" t="s">
        <v>1737</v>
      </c>
      <c r="C48" s="46" t="s">
        <v>1738</v>
      </c>
      <c r="D48" s="46" t="s">
        <v>1739</v>
      </c>
      <c r="E48" s="46" t="s">
        <v>16</v>
      </c>
      <c r="F48" s="46" t="s">
        <v>64</v>
      </c>
      <c r="G48" s="46" t="s">
        <v>65</v>
      </c>
      <c r="H48" s="46" t="s">
        <v>66</v>
      </c>
      <c r="I48" s="59" t="s">
        <v>67</v>
      </c>
      <c r="J48" s="59"/>
      <c r="K48" s="59" t="s">
        <v>33</v>
      </c>
      <c r="L48" s="46" t="s">
        <v>130</v>
      </c>
      <c r="M48" s="59" t="s">
        <v>189</v>
      </c>
      <c r="N48" s="59"/>
      <c r="O48" s="59" t="s">
        <v>74</v>
      </c>
      <c r="P48" s="59" t="s">
        <v>74</v>
      </c>
      <c r="Q48" s="59"/>
      <c r="R48" s="59"/>
      <c r="S48" s="47" t="s">
        <v>1635</v>
      </c>
      <c r="T48" s="46" t="s">
        <v>1636</v>
      </c>
      <c r="U48" s="46" t="s">
        <v>69</v>
      </c>
      <c r="V48" s="58"/>
    </row>
    <row r="49" spans="1:22" ht="12.75">
      <c r="A49" s="45" t="s">
        <v>84</v>
      </c>
      <c r="B49" s="46" t="s">
        <v>85</v>
      </c>
      <c r="C49" s="46" t="s">
        <v>86</v>
      </c>
      <c r="D49" s="46" t="s">
        <v>1740</v>
      </c>
      <c r="E49" s="46" t="s">
        <v>16</v>
      </c>
      <c r="F49" s="46" t="s">
        <v>87</v>
      </c>
      <c r="G49" s="46" t="s">
        <v>77</v>
      </c>
      <c r="H49" s="59" t="s">
        <v>73</v>
      </c>
      <c r="I49" s="46" t="s">
        <v>83</v>
      </c>
      <c r="J49" s="59"/>
      <c r="K49" s="46" t="s">
        <v>43</v>
      </c>
      <c r="L49" s="46" t="s">
        <v>283</v>
      </c>
      <c r="M49" s="46" t="s">
        <v>44</v>
      </c>
      <c r="N49" s="59"/>
      <c r="O49" s="59" t="s">
        <v>83</v>
      </c>
      <c r="P49" s="46" t="s">
        <v>83</v>
      </c>
      <c r="Q49" s="59" t="s">
        <v>1367</v>
      </c>
      <c r="R49" s="59"/>
      <c r="S49" s="47" t="s">
        <v>1741</v>
      </c>
      <c r="T49" s="46" t="s">
        <v>1742</v>
      </c>
      <c r="U49" s="46" t="s">
        <v>27</v>
      </c>
      <c r="V49" s="58"/>
    </row>
    <row r="50" spans="1:22" ht="12.75">
      <c r="A50" s="45" t="s">
        <v>1743</v>
      </c>
      <c r="B50" s="46" t="s">
        <v>1744</v>
      </c>
      <c r="C50" s="46" t="s">
        <v>1738</v>
      </c>
      <c r="D50" s="46" t="s">
        <v>1739</v>
      </c>
      <c r="E50" s="46" t="s">
        <v>16</v>
      </c>
      <c r="F50" s="46" t="s">
        <v>76</v>
      </c>
      <c r="G50" s="46" t="s">
        <v>65</v>
      </c>
      <c r="H50" s="46" t="s">
        <v>77</v>
      </c>
      <c r="I50" s="59" t="s">
        <v>73</v>
      </c>
      <c r="J50" s="59"/>
      <c r="K50" s="46" t="s">
        <v>59</v>
      </c>
      <c r="L50" s="46" t="s">
        <v>99</v>
      </c>
      <c r="M50" s="46" t="s">
        <v>121</v>
      </c>
      <c r="N50" s="59"/>
      <c r="O50" s="46" t="s">
        <v>65</v>
      </c>
      <c r="P50" s="46" t="s">
        <v>116</v>
      </c>
      <c r="Q50" s="46" t="s">
        <v>1745</v>
      </c>
      <c r="R50" s="59"/>
      <c r="S50" s="47" t="s">
        <v>1746</v>
      </c>
      <c r="T50" s="46" t="s">
        <v>1747</v>
      </c>
      <c r="U50" s="46" t="s">
        <v>27</v>
      </c>
      <c r="V50" s="58"/>
    </row>
    <row r="51" spans="1:22" ht="12.75">
      <c r="A51" s="45" t="s">
        <v>1748</v>
      </c>
      <c r="B51" s="46" t="s">
        <v>1749</v>
      </c>
      <c r="C51" s="46" t="s">
        <v>1750</v>
      </c>
      <c r="D51" s="46" t="s">
        <v>1751</v>
      </c>
      <c r="E51" s="46" t="s">
        <v>16</v>
      </c>
      <c r="F51" s="46" t="s">
        <v>76</v>
      </c>
      <c r="G51" s="46" t="s">
        <v>77</v>
      </c>
      <c r="H51" s="46" t="s">
        <v>83</v>
      </c>
      <c r="I51" s="59" t="s">
        <v>115</v>
      </c>
      <c r="J51" s="59"/>
      <c r="K51" s="59" t="s">
        <v>59</v>
      </c>
      <c r="L51" s="46" t="s">
        <v>348</v>
      </c>
      <c r="M51" s="59" t="s">
        <v>301</v>
      </c>
      <c r="N51" s="59"/>
      <c r="O51" s="46" t="s">
        <v>79</v>
      </c>
      <c r="P51" s="46" t="s">
        <v>116</v>
      </c>
      <c r="Q51" s="59" t="s">
        <v>390</v>
      </c>
      <c r="R51" s="59"/>
      <c r="S51" s="47" t="s">
        <v>1752</v>
      </c>
      <c r="T51" s="46" t="s">
        <v>1753</v>
      </c>
      <c r="U51" s="46" t="s">
        <v>27</v>
      </c>
      <c r="V51" s="58"/>
    </row>
    <row r="52" spans="1:22" ht="12.75">
      <c r="A52" s="45" t="s">
        <v>1754</v>
      </c>
      <c r="B52" s="46" t="s">
        <v>1755</v>
      </c>
      <c r="C52" s="46" t="s">
        <v>1738</v>
      </c>
      <c r="D52" s="46" t="s">
        <v>1739</v>
      </c>
      <c r="E52" s="46" t="s">
        <v>78</v>
      </c>
      <c r="F52" s="46" t="s">
        <v>1756</v>
      </c>
      <c r="G52" s="46" t="s">
        <v>79</v>
      </c>
      <c r="H52" s="46" t="s">
        <v>72</v>
      </c>
      <c r="I52" s="46" t="s">
        <v>80</v>
      </c>
      <c r="J52" s="59"/>
      <c r="K52" s="46" t="s">
        <v>33</v>
      </c>
      <c r="L52" s="59" t="s">
        <v>38</v>
      </c>
      <c r="M52" s="59" t="s">
        <v>38</v>
      </c>
      <c r="N52" s="59"/>
      <c r="O52" s="59" t="s">
        <v>77</v>
      </c>
      <c r="P52" s="46" t="s">
        <v>73</v>
      </c>
      <c r="Q52" s="59" t="s">
        <v>1757</v>
      </c>
      <c r="R52" s="59"/>
      <c r="S52" s="47" t="s">
        <v>1758</v>
      </c>
      <c r="T52" s="46" t="s">
        <v>1759</v>
      </c>
      <c r="U52" s="46" t="s">
        <v>1760</v>
      </c>
      <c r="V52" s="58"/>
    </row>
    <row r="53" spans="1:22" ht="12.75">
      <c r="A53" s="45" t="s">
        <v>1761</v>
      </c>
      <c r="B53" s="46" t="s">
        <v>1762</v>
      </c>
      <c r="C53" s="46" t="s">
        <v>90</v>
      </c>
      <c r="D53" s="46" t="s">
        <v>1763</v>
      </c>
      <c r="E53" s="46" t="s">
        <v>16</v>
      </c>
      <c r="F53" s="46" t="s">
        <v>1764</v>
      </c>
      <c r="G53" s="46" t="s">
        <v>68</v>
      </c>
      <c r="H53" s="59" t="s">
        <v>79</v>
      </c>
      <c r="I53" s="59" t="s">
        <v>79</v>
      </c>
      <c r="J53" s="59"/>
      <c r="K53" s="46" t="s">
        <v>59</v>
      </c>
      <c r="L53" s="46" t="s">
        <v>348</v>
      </c>
      <c r="M53" s="46" t="s">
        <v>301</v>
      </c>
      <c r="N53" s="59"/>
      <c r="O53" s="59" t="s">
        <v>77</v>
      </c>
      <c r="P53" s="46" t="s">
        <v>77</v>
      </c>
      <c r="Q53" s="59" t="s">
        <v>83</v>
      </c>
      <c r="R53" s="59"/>
      <c r="S53" s="47" t="s">
        <v>1765</v>
      </c>
      <c r="T53" s="46" t="s">
        <v>1766</v>
      </c>
      <c r="U53" s="46" t="s">
        <v>27</v>
      </c>
      <c r="V53" s="58"/>
    </row>
    <row r="54" spans="1:22" ht="12.75">
      <c r="A54" s="45" t="s">
        <v>1767</v>
      </c>
      <c r="B54" s="46" t="s">
        <v>1768</v>
      </c>
      <c r="C54" s="46" t="s">
        <v>89</v>
      </c>
      <c r="D54" s="46" t="s">
        <v>1769</v>
      </c>
      <c r="E54" s="46" t="s">
        <v>16</v>
      </c>
      <c r="F54" s="46" t="s">
        <v>1492</v>
      </c>
      <c r="G54" s="59" t="s">
        <v>65</v>
      </c>
      <c r="H54" s="46" t="s">
        <v>65</v>
      </c>
      <c r="I54" s="59" t="s">
        <v>72</v>
      </c>
      <c r="J54" s="59"/>
      <c r="K54" s="46" t="s">
        <v>36</v>
      </c>
      <c r="L54" s="59" t="s">
        <v>109</v>
      </c>
      <c r="M54" s="59" t="s">
        <v>42</v>
      </c>
      <c r="N54" s="59"/>
      <c r="O54" s="46" t="s">
        <v>68</v>
      </c>
      <c r="P54" s="46" t="s">
        <v>79</v>
      </c>
      <c r="Q54" s="59" t="s">
        <v>63</v>
      </c>
      <c r="R54" s="59"/>
      <c r="S54" s="47" t="s">
        <v>1770</v>
      </c>
      <c r="T54" s="46" t="s">
        <v>1771</v>
      </c>
      <c r="U54" s="46" t="s">
        <v>27</v>
      </c>
      <c r="V54" s="58"/>
    </row>
    <row r="55" spans="1:22" ht="12.75">
      <c r="A55" s="45" t="s">
        <v>1772</v>
      </c>
      <c r="B55" s="46" t="s">
        <v>1773</v>
      </c>
      <c r="C55" s="46" t="s">
        <v>81</v>
      </c>
      <c r="D55" s="46" t="s">
        <v>1774</v>
      </c>
      <c r="E55" s="46" t="s">
        <v>16</v>
      </c>
      <c r="F55" s="46" t="s">
        <v>1507</v>
      </c>
      <c r="G55" s="59" t="s">
        <v>72</v>
      </c>
      <c r="H55" s="59" t="s">
        <v>72</v>
      </c>
      <c r="I55" s="59" t="s">
        <v>72</v>
      </c>
      <c r="J55" s="59"/>
      <c r="K55" s="59" t="s">
        <v>38</v>
      </c>
      <c r="L55" s="59"/>
      <c r="M55" s="59"/>
      <c r="N55" s="59"/>
      <c r="O55" s="59" t="s">
        <v>77</v>
      </c>
      <c r="P55" s="59"/>
      <c r="Q55" s="59"/>
      <c r="R55" s="59"/>
      <c r="S55" s="47" t="s">
        <v>1635</v>
      </c>
      <c r="T55" s="46" t="s">
        <v>1636</v>
      </c>
      <c r="U55" s="46" t="s">
        <v>1775</v>
      </c>
      <c r="V55" s="58"/>
    </row>
    <row r="56" spans="1:22" ht="12.75">
      <c r="A56" s="45" t="s">
        <v>1772</v>
      </c>
      <c r="B56" s="46" t="s">
        <v>1773</v>
      </c>
      <c r="C56" s="46" t="s">
        <v>81</v>
      </c>
      <c r="D56" s="46" t="s">
        <v>1774</v>
      </c>
      <c r="E56" s="46" t="s">
        <v>16</v>
      </c>
      <c r="F56" s="46" t="s">
        <v>1507</v>
      </c>
      <c r="G56" s="59" t="s">
        <v>82</v>
      </c>
      <c r="H56" s="59"/>
      <c r="I56" s="59"/>
      <c r="J56" s="59"/>
      <c r="K56" s="59" t="s">
        <v>38</v>
      </c>
      <c r="L56" s="59"/>
      <c r="M56" s="59"/>
      <c r="N56" s="59"/>
      <c r="O56" s="59" t="s">
        <v>77</v>
      </c>
      <c r="P56" s="59"/>
      <c r="Q56" s="59"/>
      <c r="R56" s="59"/>
      <c r="S56" s="47" t="s">
        <v>1635</v>
      </c>
      <c r="T56" s="46" t="s">
        <v>1636</v>
      </c>
      <c r="U56" s="46" t="s">
        <v>27</v>
      </c>
      <c r="V56" s="58"/>
    </row>
    <row r="57" spans="1:22" ht="12.75">
      <c r="A57" s="45" t="s">
        <v>1776</v>
      </c>
      <c r="B57" s="46" t="s">
        <v>1777</v>
      </c>
      <c r="C57" s="46" t="s">
        <v>1778</v>
      </c>
      <c r="D57" s="46" t="s">
        <v>1779</v>
      </c>
      <c r="E57" s="46" t="s">
        <v>16</v>
      </c>
      <c r="F57" s="46" t="s">
        <v>1780</v>
      </c>
      <c r="G57" s="59" t="s">
        <v>44</v>
      </c>
      <c r="H57" s="46" t="s">
        <v>88</v>
      </c>
      <c r="I57" s="46" t="s">
        <v>74</v>
      </c>
      <c r="J57" s="59"/>
      <c r="K57" s="59" t="s">
        <v>59</v>
      </c>
      <c r="L57" s="59" t="s">
        <v>59</v>
      </c>
      <c r="M57" s="59" t="s">
        <v>59</v>
      </c>
      <c r="N57" s="59"/>
      <c r="O57" s="59" t="s">
        <v>57</v>
      </c>
      <c r="P57" s="59"/>
      <c r="Q57" s="59"/>
      <c r="R57" s="59"/>
      <c r="S57" s="47" t="s">
        <v>1635</v>
      </c>
      <c r="T57" s="46" t="s">
        <v>1636</v>
      </c>
      <c r="U57" s="46" t="s">
        <v>27</v>
      </c>
      <c r="V57" s="58"/>
    </row>
    <row r="58" spans="1:22" ht="12.75">
      <c r="A58" s="45" t="s">
        <v>1781</v>
      </c>
      <c r="B58" s="46" t="s">
        <v>1782</v>
      </c>
      <c r="C58" s="46" t="s">
        <v>60</v>
      </c>
      <c r="D58" s="46" t="s">
        <v>1714</v>
      </c>
      <c r="E58" s="46" t="s">
        <v>16</v>
      </c>
      <c r="F58" s="46" t="s">
        <v>91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47" t="s">
        <v>1635</v>
      </c>
      <c r="T58" s="46" t="s">
        <v>1636</v>
      </c>
      <c r="U58" s="46" t="s">
        <v>1783</v>
      </c>
      <c r="V58" s="58"/>
    </row>
    <row r="59" spans="1:22" ht="12.75">
      <c r="A59" s="48" t="s">
        <v>92</v>
      </c>
      <c r="B59" s="49" t="s">
        <v>93</v>
      </c>
      <c r="C59" s="49" t="s">
        <v>89</v>
      </c>
      <c r="D59" s="49" t="s">
        <v>1769</v>
      </c>
      <c r="E59" s="49" t="s">
        <v>16</v>
      </c>
      <c r="F59" s="49" t="s">
        <v>1492</v>
      </c>
      <c r="G59" s="49" t="s">
        <v>43</v>
      </c>
      <c r="H59" s="49" t="s">
        <v>44</v>
      </c>
      <c r="I59" s="60" t="s">
        <v>49</v>
      </c>
      <c r="J59" s="60"/>
      <c r="K59" s="49" t="s">
        <v>38</v>
      </c>
      <c r="L59" s="49" t="s">
        <v>36</v>
      </c>
      <c r="M59" s="60" t="s">
        <v>330</v>
      </c>
      <c r="N59" s="60"/>
      <c r="O59" s="49" t="s">
        <v>43</v>
      </c>
      <c r="P59" s="49" t="s">
        <v>44</v>
      </c>
      <c r="Q59" s="49" t="s">
        <v>88</v>
      </c>
      <c r="R59" s="60"/>
      <c r="S59" s="50" t="s">
        <v>1784</v>
      </c>
      <c r="T59" s="49" t="s">
        <v>1785</v>
      </c>
      <c r="U59" s="49" t="s">
        <v>27</v>
      </c>
      <c r="V59" s="58"/>
    </row>
    <row r="60" spans="1:21" ht="12.75">
      <c r="A60" s="33"/>
      <c r="B60" s="29"/>
      <c r="C60" s="29"/>
      <c r="D60" s="29"/>
      <c r="E60" s="30"/>
      <c r="F60" s="30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3"/>
      <c r="T60" s="29"/>
      <c r="U60" s="30"/>
    </row>
    <row r="61" spans="1:21" ht="15">
      <c r="A61" s="117" t="s">
        <v>94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30"/>
    </row>
    <row r="62" spans="1:22" ht="12.75">
      <c r="A62" s="42" t="s">
        <v>1786</v>
      </c>
      <c r="B62" s="43" t="s">
        <v>1787</v>
      </c>
      <c r="C62" s="43" t="s">
        <v>97</v>
      </c>
      <c r="D62" s="43" t="s">
        <v>1788</v>
      </c>
      <c r="E62" s="43" t="s">
        <v>16</v>
      </c>
      <c r="F62" s="43" t="s">
        <v>1789</v>
      </c>
      <c r="G62" s="43" t="s">
        <v>83</v>
      </c>
      <c r="H62" s="57" t="s">
        <v>106</v>
      </c>
      <c r="I62" s="57" t="s">
        <v>1367</v>
      </c>
      <c r="J62" s="57"/>
      <c r="K62" s="43" t="s">
        <v>56</v>
      </c>
      <c r="L62" s="43" t="s">
        <v>57</v>
      </c>
      <c r="M62" s="57"/>
      <c r="N62" s="57"/>
      <c r="O62" s="57" t="s">
        <v>73</v>
      </c>
      <c r="P62" s="43" t="s">
        <v>73</v>
      </c>
      <c r="Q62" s="57" t="s">
        <v>103</v>
      </c>
      <c r="R62" s="57"/>
      <c r="S62" s="44" t="s">
        <v>1790</v>
      </c>
      <c r="T62" s="43" t="s">
        <v>1791</v>
      </c>
      <c r="U62" s="43" t="s">
        <v>27</v>
      </c>
      <c r="V62" s="58"/>
    </row>
    <row r="63" spans="1:22" ht="12.75">
      <c r="A63" s="45" t="s">
        <v>1792</v>
      </c>
      <c r="B63" s="46" t="s">
        <v>1793</v>
      </c>
      <c r="C63" s="46" t="s">
        <v>95</v>
      </c>
      <c r="D63" s="46" t="s">
        <v>1794</v>
      </c>
      <c r="E63" s="46" t="s">
        <v>16</v>
      </c>
      <c r="F63" s="46" t="s">
        <v>41</v>
      </c>
      <c r="G63" s="46" t="s">
        <v>48</v>
      </c>
      <c r="H63" s="46" t="s">
        <v>56</v>
      </c>
      <c r="I63" s="59" t="s">
        <v>74</v>
      </c>
      <c r="J63" s="59"/>
      <c r="K63" s="46" t="s">
        <v>25</v>
      </c>
      <c r="L63" s="46" t="s">
        <v>35</v>
      </c>
      <c r="M63" s="59" t="s">
        <v>42</v>
      </c>
      <c r="N63" s="59"/>
      <c r="O63" s="46" t="s">
        <v>57</v>
      </c>
      <c r="P63" s="46" t="s">
        <v>65</v>
      </c>
      <c r="Q63" s="59" t="s">
        <v>77</v>
      </c>
      <c r="R63" s="59"/>
      <c r="S63" s="47" t="s">
        <v>1795</v>
      </c>
      <c r="T63" s="46" t="s">
        <v>1796</v>
      </c>
      <c r="U63" s="46" t="s">
        <v>27</v>
      </c>
      <c r="V63" s="58"/>
    </row>
    <row r="64" spans="1:22" ht="12.75">
      <c r="A64" s="45" t="s">
        <v>1792</v>
      </c>
      <c r="B64" s="46" t="s">
        <v>1793</v>
      </c>
      <c r="C64" s="46" t="s">
        <v>96</v>
      </c>
      <c r="D64" s="46" t="s">
        <v>1797</v>
      </c>
      <c r="E64" s="46" t="s">
        <v>16</v>
      </c>
      <c r="F64" s="46" t="s">
        <v>1798</v>
      </c>
      <c r="G64" s="59" t="s">
        <v>82</v>
      </c>
      <c r="H64" s="59"/>
      <c r="I64" s="59"/>
      <c r="J64" s="59"/>
      <c r="K64" s="59" t="s">
        <v>1799</v>
      </c>
      <c r="L64" s="59"/>
      <c r="M64" s="59"/>
      <c r="N64" s="59"/>
      <c r="O64" s="59" t="s">
        <v>1799</v>
      </c>
      <c r="P64" s="59"/>
      <c r="Q64" s="59"/>
      <c r="R64" s="59"/>
      <c r="S64" s="47" t="s">
        <v>1635</v>
      </c>
      <c r="T64" s="46" t="s">
        <v>1636</v>
      </c>
      <c r="U64" s="46" t="s">
        <v>1800</v>
      </c>
      <c r="V64" s="58"/>
    </row>
    <row r="65" spans="1:22" ht="12.75">
      <c r="A65" s="45" t="s">
        <v>1801</v>
      </c>
      <c r="B65" s="46" t="s">
        <v>1802</v>
      </c>
      <c r="C65" s="46" t="s">
        <v>97</v>
      </c>
      <c r="D65" s="46" t="s">
        <v>1788</v>
      </c>
      <c r="E65" s="46" t="s">
        <v>1484</v>
      </c>
      <c r="F65" s="46" t="s">
        <v>1803</v>
      </c>
      <c r="G65" s="46" t="s">
        <v>65</v>
      </c>
      <c r="H65" s="46" t="s">
        <v>77</v>
      </c>
      <c r="I65" s="59" t="s">
        <v>73</v>
      </c>
      <c r="J65" s="59"/>
      <c r="K65" s="46" t="s">
        <v>43</v>
      </c>
      <c r="L65" s="46" t="s">
        <v>48</v>
      </c>
      <c r="M65" s="59" t="s">
        <v>283</v>
      </c>
      <c r="N65" s="59"/>
      <c r="O65" s="59" t="s">
        <v>551</v>
      </c>
      <c r="P65" s="46" t="s">
        <v>549</v>
      </c>
      <c r="Q65" s="46" t="s">
        <v>1804</v>
      </c>
      <c r="R65" s="59"/>
      <c r="S65" s="47" t="s">
        <v>1805</v>
      </c>
      <c r="T65" s="46" t="s">
        <v>1806</v>
      </c>
      <c r="U65" s="46" t="s">
        <v>27</v>
      </c>
      <c r="V65" s="58"/>
    </row>
    <row r="66" spans="1:22" ht="12.75">
      <c r="A66" s="45" t="s">
        <v>1807</v>
      </c>
      <c r="B66" s="46" t="s">
        <v>1808</v>
      </c>
      <c r="C66" s="46" t="s">
        <v>102</v>
      </c>
      <c r="D66" s="46" t="s">
        <v>1809</v>
      </c>
      <c r="E66" s="46" t="s">
        <v>1810</v>
      </c>
      <c r="F66" s="46" t="s">
        <v>1811</v>
      </c>
      <c r="G66" s="46" t="s">
        <v>103</v>
      </c>
      <c r="H66" s="59" t="s">
        <v>1812</v>
      </c>
      <c r="I66" s="46" t="s">
        <v>1813</v>
      </c>
      <c r="J66" s="59"/>
      <c r="K66" s="46" t="s">
        <v>48</v>
      </c>
      <c r="L66" s="59" t="s">
        <v>283</v>
      </c>
      <c r="M66" s="59" t="s">
        <v>283</v>
      </c>
      <c r="N66" s="59"/>
      <c r="O66" s="46" t="s">
        <v>83</v>
      </c>
      <c r="P66" s="59" t="s">
        <v>115</v>
      </c>
      <c r="Q66" s="59" t="s">
        <v>513</v>
      </c>
      <c r="R66" s="59"/>
      <c r="S66" s="47" t="s">
        <v>1790</v>
      </c>
      <c r="T66" s="46" t="s">
        <v>1814</v>
      </c>
      <c r="U66" s="46" t="s">
        <v>1815</v>
      </c>
      <c r="V66" s="58"/>
    </row>
    <row r="67" spans="1:22" ht="12.75">
      <c r="A67" s="45" t="s">
        <v>1786</v>
      </c>
      <c r="B67" s="46" t="s">
        <v>1816</v>
      </c>
      <c r="C67" s="46" t="s">
        <v>97</v>
      </c>
      <c r="D67" s="46" t="s">
        <v>1788</v>
      </c>
      <c r="E67" s="46" t="s">
        <v>16</v>
      </c>
      <c r="F67" s="46" t="s">
        <v>1789</v>
      </c>
      <c r="G67" s="46" t="s">
        <v>83</v>
      </c>
      <c r="H67" s="59" t="s">
        <v>106</v>
      </c>
      <c r="I67" s="59" t="s">
        <v>1367</v>
      </c>
      <c r="J67" s="59"/>
      <c r="K67" s="46" t="s">
        <v>56</v>
      </c>
      <c r="L67" s="46" t="s">
        <v>57</v>
      </c>
      <c r="M67" s="59"/>
      <c r="N67" s="59"/>
      <c r="O67" s="59" t="s">
        <v>73</v>
      </c>
      <c r="P67" s="46" t="s">
        <v>73</v>
      </c>
      <c r="Q67" s="59" t="s">
        <v>103</v>
      </c>
      <c r="R67" s="59"/>
      <c r="S67" s="47" t="s">
        <v>1790</v>
      </c>
      <c r="T67" s="46" t="s">
        <v>1791</v>
      </c>
      <c r="U67" s="46" t="s">
        <v>27</v>
      </c>
      <c r="V67" s="58"/>
    </row>
    <row r="68" spans="1:22" ht="12.75">
      <c r="A68" s="45" t="s">
        <v>1817</v>
      </c>
      <c r="B68" s="46" t="s">
        <v>1818</v>
      </c>
      <c r="C68" s="46" t="s">
        <v>97</v>
      </c>
      <c r="D68" s="46" t="s">
        <v>1788</v>
      </c>
      <c r="E68" s="46" t="s">
        <v>16</v>
      </c>
      <c r="F68" s="46" t="s">
        <v>1819</v>
      </c>
      <c r="G68" s="59" t="s">
        <v>116</v>
      </c>
      <c r="H68" s="46" t="s">
        <v>73</v>
      </c>
      <c r="I68" s="46" t="s">
        <v>83</v>
      </c>
      <c r="J68" s="59"/>
      <c r="K68" s="46" t="s">
        <v>59</v>
      </c>
      <c r="L68" s="59" t="s">
        <v>109</v>
      </c>
      <c r="M68" s="59" t="s">
        <v>109</v>
      </c>
      <c r="N68" s="59"/>
      <c r="O68" s="46" t="s">
        <v>63</v>
      </c>
      <c r="P68" s="46" t="s">
        <v>116</v>
      </c>
      <c r="Q68" s="59" t="s">
        <v>83</v>
      </c>
      <c r="R68" s="59"/>
      <c r="S68" s="47" t="s">
        <v>1820</v>
      </c>
      <c r="T68" s="46" t="s">
        <v>1821</v>
      </c>
      <c r="U68" s="46" t="s">
        <v>1822</v>
      </c>
      <c r="V68" s="58"/>
    </row>
    <row r="69" spans="1:22" ht="12.75">
      <c r="A69" s="45" t="s">
        <v>1823</v>
      </c>
      <c r="B69" s="46" t="s">
        <v>1824</v>
      </c>
      <c r="C69" s="46" t="s">
        <v>102</v>
      </c>
      <c r="D69" s="46" t="s">
        <v>1809</v>
      </c>
      <c r="E69" s="46" t="s">
        <v>16</v>
      </c>
      <c r="F69" s="46" t="s">
        <v>1825</v>
      </c>
      <c r="G69" s="59" t="s">
        <v>74</v>
      </c>
      <c r="H69" s="59" t="s">
        <v>68</v>
      </c>
      <c r="I69" s="46" t="s">
        <v>65</v>
      </c>
      <c r="J69" s="59"/>
      <c r="K69" s="59" t="s">
        <v>58</v>
      </c>
      <c r="L69" s="46" t="s">
        <v>33</v>
      </c>
      <c r="M69" s="59" t="s">
        <v>35</v>
      </c>
      <c r="N69" s="59"/>
      <c r="O69" s="46" t="s">
        <v>57</v>
      </c>
      <c r="P69" s="46" t="s">
        <v>74</v>
      </c>
      <c r="Q69" s="46" t="s">
        <v>65</v>
      </c>
      <c r="R69" s="59"/>
      <c r="S69" s="47" t="s">
        <v>1826</v>
      </c>
      <c r="T69" s="46" t="s">
        <v>1827</v>
      </c>
      <c r="U69" s="46" t="s">
        <v>27</v>
      </c>
      <c r="V69" s="58"/>
    </row>
    <row r="70" spans="1:22" ht="12.75">
      <c r="A70" s="45" t="s">
        <v>1828</v>
      </c>
      <c r="B70" s="46" t="s">
        <v>1829</v>
      </c>
      <c r="C70" s="46" t="s">
        <v>1830</v>
      </c>
      <c r="D70" s="46" t="s">
        <v>1831</v>
      </c>
      <c r="E70" s="46" t="s">
        <v>16</v>
      </c>
      <c r="F70" s="46" t="s">
        <v>98</v>
      </c>
      <c r="G70" s="46" t="s">
        <v>30</v>
      </c>
      <c r="H70" s="59" t="s">
        <v>25</v>
      </c>
      <c r="I70" s="59" t="s">
        <v>25</v>
      </c>
      <c r="J70" s="59"/>
      <c r="K70" s="46" t="s">
        <v>25</v>
      </c>
      <c r="L70" s="46" t="s">
        <v>254</v>
      </c>
      <c r="M70" s="59" t="s">
        <v>58</v>
      </c>
      <c r="N70" s="59"/>
      <c r="O70" s="46" t="s">
        <v>99</v>
      </c>
      <c r="P70" s="46" t="s">
        <v>121</v>
      </c>
      <c r="Q70" s="59" t="s">
        <v>342</v>
      </c>
      <c r="R70" s="59"/>
      <c r="S70" s="47" t="s">
        <v>1832</v>
      </c>
      <c r="T70" s="46" t="s">
        <v>1833</v>
      </c>
      <c r="U70" s="46" t="s">
        <v>1834</v>
      </c>
      <c r="V70" s="58"/>
    </row>
    <row r="71" spans="1:22" ht="12.75">
      <c r="A71" s="45" t="s">
        <v>1835</v>
      </c>
      <c r="B71" s="46" t="s">
        <v>1836</v>
      </c>
      <c r="C71" s="46" t="s">
        <v>100</v>
      </c>
      <c r="D71" s="46" t="s">
        <v>1837</v>
      </c>
      <c r="E71" s="46" t="s">
        <v>16</v>
      </c>
      <c r="F71" s="46" t="s">
        <v>101</v>
      </c>
      <c r="G71" s="59" t="s">
        <v>63</v>
      </c>
      <c r="H71" s="59" t="s">
        <v>63</v>
      </c>
      <c r="I71" s="59" t="s">
        <v>77</v>
      </c>
      <c r="J71" s="59"/>
      <c r="K71" s="59" t="s">
        <v>36</v>
      </c>
      <c r="L71" s="59"/>
      <c r="M71" s="59"/>
      <c r="N71" s="59"/>
      <c r="O71" s="59" t="s">
        <v>72</v>
      </c>
      <c r="P71" s="59"/>
      <c r="Q71" s="59"/>
      <c r="R71" s="59"/>
      <c r="S71" s="47" t="s">
        <v>1635</v>
      </c>
      <c r="T71" s="46" t="s">
        <v>1636</v>
      </c>
      <c r="U71" s="46" t="s">
        <v>27</v>
      </c>
      <c r="V71" s="58"/>
    </row>
    <row r="72" spans="1:22" ht="12.75">
      <c r="A72" s="45" t="s">
        <v>1838</v>
      </c>
      <c r="B72" s="46" t="s">
        <v>1839</v>
      </c>
      <c r="C72" s="46" t="s">
        <v>104</v>
      </c>
      <c r="D72" s="46" t="s">
        <v>1840</v>
      </c>
      <c r="E72" s="46" t="s">
        <v>16</v>
      </c>
      <c r="F72" s="46" t="s">
        <v>1492</v>
      </c>
      <c r="G72" s="59" t="s">
        <v>77</v>
      </c>
      <c r="H72" s="59" t="s">
        <v>73</v>
      </c>
      <c r="I72" s="59" t="s">
        <v>73</v>
      </c>
      <c r="J72" s="59"/>
      <c r="K72" s="59" t="s">
        <v>42</v>
      </c>
      <c r="L72" s="59"/>
      <c r="M72" s="59"/>
      <c r="N72" s="59"/>
      <c r="O72" s="59" t="s">
        <v>77</v>
      </c>
      <c r="P72" s="59"/>
      <c r="Q72" s="59"/>
      <c r="R72" s="59"/>
      <c r="S72" s="47" t="s">
        <v>1635</v>
      </c>
      <c r="T72" s="46" t="s">
        <v>1636</v>
      </c>
      <c r="U72" s="46" t="s">
        <v>27</v>
      </c>
      <c r="V72" s="58"/>
    </row>
    <row r="73" spans="1:22" ht="12.75">
      <c r="A73" s="45" t="s">
        <v>1841</v>
      </c>
      <c r="B73" s="46" t="s">
        <v>1842</v>
      </c>
      <c r="C73" s="46" t="s">
        <v>105</v>
      </c>
      <c r="D73" s="46" t="s">
        <v>1843</v>
      </c>
      <c r="E73" s="46" t="s">
        <v>16</v>
      </c>
      <c r="F73" s="46" t="s">
        <v>1492</v>
      </c>
      <c r="G73" s="46" t="s">
        <v>63</v>
      </c>
      <c r="H73" s="59" t="s">
        <v>73</v>
      </c>
      <c r="I73" s="59" t="s">
        <v>73</v>
      </c>
      <c r="J73" s="59"/>
      <c r="K73" s="59" t="s">
        <v>82</v>
      </c>
      <c r="L73" s="59"/>
      <c r="M73" s="59"/>
      <c r="N73" s="59"/>
      <c r="O73" s="59" t="s">
        <v>77</v>
      </c>
      <c r="P73" s="59"/>
      <c r="Q73" s="59"/>
      <c r="R73" s="59"/>
      <c r="S73" s="47" t="s">
        <v>1635</v>
      </c>
      <c r="T73" s="46" t="s">
        <v>1636</v>
      </c>
      <c r="U73" s="46" t="s">
        <v>27</v>
      </c>
      <c r="V73" s="58"/>
    </row>
    <row r="74" spans="1:22" ht="12.75">
      <c r="A74" s="45" t="s">
        <v>1786</v>
      </c>
      <c r="B74" s="46" t="s">
        <v>1816</v>
      </c>
      <c r="C74" s="46" t="s">
        <v>97</v>
      </c>
      <c r="D74" s="46" t="s">
        <v>1788</v>
      </c>
      <c r="E74" s="46" t="s">
        <v>16</v>
      </c>
      <c r="F74" s="46" t="s">
        <v>1789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47" t="s">
        <v>1635</v>
      </c>
      <c r="T74" s="46" t="s">
        <v>1636</v>
      </c>
      <c r="U74" s="46" t="s">
        <v>1844</v>
      </c>
      <c r="V74" s="58"/>
    </row>
    <row r="75" spans="1:22" ht="12.75">
      <c r="A75" s="45" t="s">
        <v>1845</v>
      </c>
      <c r="B75" s="46" t="s">
        <v>1846</v>
      </c>
      <c r="C75" s="46" t="s">
        <v>104</v>
      </c>
      <c r="D75" s="46" t="s">
        <v>1840</v>
      </c>
      <c r="E75" s="46" t="s">
        <v>16</v>
      </c>
      <c r="F75" s="46" t="s">
        <v>108</v>
      </c>
      <c r="G75" s="46" t="s">
        <v>57</v>
      </c>
      <c r="H75" s="46" t="s">
        <v>68</v>
      </c>
      <c r="I75" s="46" t="s">
        <v>79</v>
      </c>
      <c r="J75" s="59"/>
      <c r="K75" s="46" t="s">
        <v>25</v>
      </c>
      <c r="L75" s="46" t="s">
        <v>308</v>
      </c>
      <c r="M75" s="59" t="s">
        <v>130</v>
      </c>
      <c r="N75" s="59"/>
      <c r="O75" s="46" t="s">
        <v>44</v>
      </c>
      <c r="P75" s="46" t="s">
        <v>57</v>
      </c>
      <c r="Q75" s="59" t="s">
        <v>292</v>
      </c>
      <c r="R75" s="59"/>
      <c r="S75" s="47" t="s">
        <v>1847</v>
      </c>
      <c r="T75" s="46" t="s">
        <v>1848</v>
      </c>
      <c r="U75" s="46" t="s">
        <v>27</v>
      </c>
      <c r="V75" s="58"/>
    </row>
    <row r="76" spans="1:22" ht="12.75">
      <c r="A76" s="45" t="s">
        <v>1849</v>
      </c>
      <c r="B76" s="46" t="s">
        <v>1850</v>
      </c>
      <c r="C76" s="46" t="s">
        <v>107</v>
      </c>
      <c r="D76" s="46" t="s">
        <v>1851</v>
      </c>
      <c r="E76" s="46" t="s">
        <v>16</v>
      </c>
      <c r="F76" s="46" t="s">
        <v>1852</v>
      </c>
      <c r="G76" s="46" t="s">
        <v>48</v>
      </c>
      <c r="H76" s="46" t="s">
        <v>56</v>
      </c>
      <c r="I76" s="59" t="s">
        <v>74</v>
      </c>
      <c r="J76" s="59"/>
      <c r="K76" s="46" t="s">
        <v>19</v>
      </c>
      <c r="L76" s="46" t="s">
        <v>37</v>
      </c>
      <c r="M76" s="59" t="s">
        <v>17</v>
      </c>
      <c r="N76" s="59"/>
      <c r="O76" s="46" t="s">
        <v>79</v>
      </c>
      <c r="P76" s="46" t="s">
        <v>77</v>
      </c>
      <c r="Q76" s="46" t="s">
        <v>73</v>
      </c>
      <c r="R76" s="59"/>
      <c r="S76" s="47" t="s">
        <v>1727</v>
      </c>
      <c r="T76" s="46" t="s">
        <v>1853</v>
      </c>
      <c r="U76" s="46" t="s">
        <v>27</v>
      </c>
      <c r="V76" s="58"/>
    </row>
    <row r="77" spans="1:22" ht="12.75">
      <c r="A77" s="45" t="s">
        <v>1854</v>
      </c>
      <c r="B77" s="46" t="s">
        <v>1855</v>
      </c>
      <c r="C77" s="46" t="s">
        <v>1856</v>
      </c>
      <c r="D77" s="46" t="s">
        <v>1857</v>
      </c>
      <c r="E77" s="46" t="s">
        <v>16</v>
      </c>
      <c r="F77" s="46" t="s">
        <v>1614</v>
      </c>
      <c r="G77" s="46" t="s">
        <v>25</v>
      </c>
      <c r="H77" s="59" t="s">
        <v>38</v>
      </c>
      <c r="I77" s="46" t="s">
        <v>38</v>
      </c>
      <c r="J77" s="59"/>
      <c r="K77" s="46" t="s">
        <v>110</v>
      </c>
      <c r="L77" s="46" t="s">
        <v>963</v>
      </c>
      <c r="M77" s="46" t="s">
        <v>169</v>
      </c>
      <c r="N77" s="59"/>
      <c r="O77" s="46" t="s">
        <v>42</v>
      </c>
      <c r="P77" s="46" t="s">
        <v>48</v>
      </c>
      <c r="Q77" s="46" t="s">
        <v>56</v>
      </c>
      <c r="R77" s="59"/>
      <c r="S77" s="47" t="s">
        <v>1858</v>
      </c>
      <c r="T77" s="46" t="s">
        <v>1859</v>
      </c>
      <c r="U77" s="46" t="s">
        <v>1860</v>
      </c>
      <c r="V77" s="58"/>
    </row>
    <row r="78" spans="1:22" ht="12.75">
      <c r="A78" s="48" t="s">
        <v>1861</v>
      </c>
      <c r="B78" s="49" t="s">
        <v>1862</v>
      </c>
      <c r="C78" s="49" t="s">
        <v>1863</v>
      </c>
      <c r="D78" s="49" t="s">
        <v>1864</v>
      </c>
      <c r="E78" s="49" t="s">
        <v>23</v>
      </c>
      <c r="F78" s="49" t="s">
        <v>1865</v>
      </c>
      <c r="G78" s="49" t="s">
        <v>59</v>
      </c>
      <c r="H78" s="49" t="s">
        <v>42</v>
      </c>
      <c r="I78" s="49" t="s">
        <v>43</v>
      </c>
      <c r="J78" s="60"/>
      <c r="K78" s="49" t="s">
        <v>17</v>
      </c>
      <c r="L78" s="60" t="s">
        <v>110</v>
      </c>
      <c r="M78" s="60" t="s">
        <v>110</v>
      </c>
      <c r="N78" s="60"/>
      <c r="O78" s="49" t="s">
        <v>109</v>
      </c>
      <c r="P78" s="49" t="s">
        <v>43</v>
      </c>
      <c r="Q78" s="60" t="s">
        <v>48</v>
      </c>
      <c r="R78" s="60"/>
      <c r="S78" s="50" t="s">
        <v>1866</v>
      </c>
      <c r="T78" s="49" t="s">
        <v>1867</v>
      </c>
      <c r="U78" s="49" t="s">
        <v>27</v>
      </c>
      <c r="V78" s="58"/>
    </row>
    <row r="79" spans="1:21" ht="12.75">
      <c r="A79" s="33"/>
      <c r="B79" s="29"/>
      <c r="C79" s="29"/>
      <c r="D79" s="29"/>
      <c r="E79" s="30"/>
      <c r="F79" s="30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3"/>
      <c r="T79" s="29"/>
      <c r="U79" s="30"/>
    </row>
    <row r="80" spans="1:21" ht="15">
      <c r="A80" s="117" t="s">
        <v>111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30"/>
    </row>
    <row r="81" spans="1:22" ht="12.75">
      <c r="A81" s="42" t="s">
        <v>1868</v>
      </c>
      <c r="B81" s="43" t="s">
        <v>1869</v>
      </c>
      <c r="C81" s="43" t="s">
        <v>52</v>
      </c>
      <c r="D81" s="43" t="s">
        <v>1870</v>
      </c>
      <c r="E81" s="43" t="s">
        <v>16</v>
      </c>
      <c r="F81" s="43" t="s">
        <v>1505</v>
      </c>
      <c r="G81" s="43" t="s">
        <v>83</v>
      </c>
      <c r="H81" s="43" t="s">
        <v>115</v>
      </c>
      <c r="I81" s="57" t="s">
        <v>106</v>
      </c>
      <c r="J81" s="57"/>
      <c r="K81" s="57" t="s">
        <v>43</v>
      </c>
      <c r="L81" s="43" t="s">
        <v>48</v>
      </c>
      <c r="M81" s="57" t="s">
        <v>44</v>
      </c>
      <c r="N81" s="57"/>
      <c r="O81" s="43" t="s">
        <v>106</v>
      </c>
      <c r="P81" s="43" t="s">
        <v>485</v>
      </c>
      <c r="Q81" s="57" t="s">
        <v>550</v>
      </c>
      <c r="R81" s="57"/>
      <c r="S81" s="44" t="s">
        <v>1871</v>
      </c>
      <c r="T81" s="43" t="s">
        <v>1872</v>
      </c>
      <c r="U81" s="43" t="s">
        <v>27</v>
      </c>
      <c r="V81" s="58"/>
    </row>
    <row r="82" spans="1:22" ht="12.75">
      <c r="A82" s="45" t="s">
        <v>1873</v>
      </c>
      <c r="B82" s="46" t="s">
        <v>1874</v>
      </c>
      <c r="C82" s="46" t="s">
        <v>1875</v>
      </c>
      <c r="D82" s="46" t="s">
        <v>1876</v>
      </c>
      <c r="E82" s="46" t="s">
        <v>16</v>
      </c>
      <c r="F82" s="46" t="s">
        <v>41</v>
      </c>
      <c r="G82" s="46" t="s">
        <v>65</v>
      </c>
      <c r="H82" s="46" t="s">
        <v>72</v>
      </c>
      <c r="I82" s="59" t="s">
        <v>116</v>
      </c>
      <c r="J82" s="59"/>
      <c r="K82" s="46" t="s">
        <v>58</v>
      </c>
      <c r="L82" s="46" t="s">
        <v>35</v>
      </c>
      <c r="M82" s="59" t="s">
        <v>59</v>
      </c>
      <c r="N82" s="59"/>
      <c r="O82" s="46" t="s">
        <v>56</v>
      </c>
      <c r="P82" s="46" t="s">
        <v>74</v>
      </c>
      <c r="Q82" s="46" t="s">
        <v>63</v>
      </c>
      <c r="R82" s="59"/>
      <c r="S82" s="47" t="s">
        <v>1720</v>
      </c>
      <c r="T82" s="46" t="s">
        <v>1877</v>
      </c>
      <c r="U82" s="46" t="s">
        <v>117</v>
      </c>
      <c r="V82" s="58"/>
    </row>
    <row r="83" spans="1:22" ht="12.75">
      <c r="A83" s="45" t="s">
        <v>1883</v>
      </c>
      <c r="B83" s="46" t="s">
        <v>1884</v>
      </c>
      <c r="C83" s="46" t="s">
        <v>1885</v>
      </c>
      <c r="D83" s="46" t="s">
        <v>1886</v>
      </c>
      <c r="E83" s="46" t="s">
        <v>23</v>
      </c>
      <c r="F83" s="46" t="s">
        <v>1529</v>
      </c>
      <c r="G83" s="46" t="s">
        <v>44</v>
      </c>
      <c r="H83" s="46" t="s">
        <v>57</v>
      </c>
      <c r="I83" s="46" t="s">
        <v>74</v>
      </c>
      <c r="J83" s="59"/>
      <c r="K83" s="46" t="s">
        <v>25</v>
      </c>
      <c r="L83" s="46" t="s">
        <v>33</v>
      </c>
      <c r="M83" s="46" t="s">
        <v>35</v>
      </c>
      <c r="N83" s="59"/>
      <c r="O83" s="46" t="s">
        <v>56</v>
      </c>
      <c r="P83" s="59" t="s">
        <v>88</v>
      </c>
      <c r="Q83" s="59" t="s">
        <v>88</v>
      </c>
      <c r="R83" s="59"/>
      <c r="S83" s="47" t="s">
        <v>1887</v>
      </c>
      <c r="T83" s="46" t="s">
        <v>1888</v>
      </c>
      <c r="U83" s="46" t="s">
        <v>27</v>
      </c>
      <c r="V83" s="58"/>
    </row>
    <row r="84" spans="1:22" ht="12.75">
      <c r="A84" s="45" t="s">
        <v>483</v>
      </c>
      <c r="B84" s="46" t="s">
        <v>484</v>
      </c>
      <c r="C84" s="46" t="s">
        <v>462</v>
      </c>
      <c r="D84" s="46" t="s">
        <v>1889</v>
      </c>
      <c r="E84" s="46" t="s">
        <v>16</v>
      </c>
      <c r="F84" s="46" t="s">
        <v>1507</v>
      </c>
      <c r="G84" s="46" t="s">
        <v>485</v>
      </c>
      <c r="H84" s="46" t="s">
        <v>1367</v>
      </c>
      <c r="I84" s="59" t="s">
        <v>1804</v>
      </c>
      <c r="J84" s="59"/>
      <c r="K84" s="46" t="s">
        <v>48</v>
      </c>
      <c r="L84" s="46" t="s">
        <v>44</v>
      </c>
      <c r="M84" s="59" t="s">
        <v>284</v>
      </c>
      <c r="N84" s="59"/>
      <c r="O84" s="46" t="s">
        <v>103</v>
      </c>
      <c r="P84" s="59" t="s">
        <v>447</v>
      </c>
      <c r="Q84" s="46" t="s">
        <v>447</v>
      </c>
      <c r="R84" s="59"/>
      <c r="S84" s="47" t="s">
        <v>1890</v>
      </c>
      <c r="T84" s="46" t="s">
        <v>1891</v>
      </c>
      <c r="U84" s="46" t="s">
        <v>27</v>
      </c>
      <c r="V84" s="58"/>
    </row>
    <row r="85" spans="1:22" ht="12.75">
      <c r="A85" s="45" t="s">
        <v>1868</v>
      </c>
      <c r="B85" s="46" t="s">
        <v>1892</v>
      </c>
      <c r="C85" s="46" t="s">
        <v>52</v>
      </c>
      <c r="D85" s="46" t="s">
        <v>1870</v>
      </c>
      <c r="E85" s="46" t="s">
        <v>16</v>
      </c>
      <c r="F85" s="46" t="s">
        <v>1505</v>
      </c>
      <c r="G85" s="46" t="s">
        <v>83</v>
      </c>
      <c r="H85" s="46" t="s">
        <v>115</v>
      </c>
      <c r="I85" s="59" t="s">
        <v>106</v>
      </c>
      <c r="J85" s="59"/>
      <c r="K85" s="59" t="s">
        <v>43</v>
      </c>
      <c r="L85" s="46" t="s">
        <v>48</v>
      </c>
      <c r="M85" s="59" t="s">
        <v>44</v>
      </c>
      <c r="N85" s="59"/>
      <c r="O85" s="46" t="s">
        <v>106</v>
      </c>
      <c r="P85" s="46" t="s">
        <v>485</v>
      </c>
      <c r="Q85" s="59" t="s">
        <v>550</v>
      </c>
      <c r="R85" s="59"/>
      <c r="S85" s="47" t="s">
        <v>1871</v>
      </c>
      <c r="T85" s="46" t="s">
        <v>1872</v>
      </c>
      <c r="U85" s="46" t="s">
        <v>27</v>
      </c>
      <c r="V85" s="58"/>
    </row>
    <row r="86" spans="1:22" ht="12.75">
      <c r="A86" s="45" t="s">
        <v>1893</v>
      </c>
      <c r="B86" s="46" t="s">
        <v>1894</v>
      </c>
      <c r="C86" s="46" t="s">
        <v>494</v>
      </c>
      <c r="D86" s="46" t="s">
        <v>1895</v>
      </c>
      <c r="E86" s="46" t="s">
        <v>16</v>
      </c>
      <c r="F86" s="46" t="s">
        <v>1505</v>
      </c>
      <c r="G86" s="59" t="s">
        <v>106</v>
      </c>
      <c r="H86" s="46" t="s">
        <v>106</v>
      </c>
      <c r="I86" s="59" t="s">
        <v>1367</v>
      </c>
      <c r="J86" s="59"/>
      <c r="K86" s="46" t="s">
        <v>48</v>
      </c>
      <c r="L86" s="46" t="s">
        <v>44</v>
      </c>
      <c r="M86" s="46" t="s">
        <v>49</v>
      </c>
      <c r="N86" s="59"/>
      <c r="O86" s="46" t="s">
        <v>73</v>
      </c>
      <c r="P86" s="46" t="s">
        <v>83</v>
      </c>
      <c r="Q86" s="59"/>
      <c r="R86" s="59"/>
      <c r="S86" s="47" t="s">
        <v>1896</v>
      </c>
      <c r="T86" s="46" t="s">
        <v>1897</v>
      </c>
      <c r="U86" s="46" t="s">
        <v>27</v>
      </c>
      <c r="V86" s="58"/>
    </row>
    <row r="87" spans="1:22" ht="12.75">
      <c r="A87" s="45" t="s">
        <v>1898</v>
      </c>
      <c r="B87" s="46" t="s">
        <v>125</v>
      </c>
      <c r="C87" s="46" t="s">
        <v>1899</v>
      </c>
      <c r="D87" s="46" t="s">
        <v>1900</v>
      </c>
      <c r="E87" s="46" t="s">
        <v>16</v>
      </c>
      <c r="F87" s="46" t="s">
        <v>126</v>
      </c>
      <c r="G87" s="46" t="s">
        <v>73</v>
      </c>
      <c r="H87" s="46" t="s">
        <v>83</v>
      </c>
      <c r="I87" s="59" t="s">
        <v>106</v>
      </c>
      <c r="J87" s="59"/>
      <c r="K87" s="46" t="s">
        <v>43</v>
      </c>
      <c r="L87" s="46" t="s">
        <v>48</v>
      </c>
      <c r="M87" s="46" t="s">
        <v>44</v>
      </c>
      <c r="N87" s="59"/>
      <c r="O87" s="46" t="s">
        <v>77</v>
      </c>
      <c r="P87" s="59" t="s">
        <v>390</v>
      </c>
      <c r="Q87" s="46" t="s">
        <v>103</v>
      </c>
      <c r="R87" s="59"/>
      <c r="S87" s="47" t="s">
        <v>1901</v>
      </c>
      <c r="T87" s="46" t="s">
        <v>1902</v>
      </c>
      <c r="U87" s="46" t="s">
        <v>27</v>
      </c>
      <c r="V87" s="58"/>
    </row>
    <row r="88" spans="1:22" ht="12.75">
      <c r="A88" s="45" t="s">
        <v>1903</v>
      </c>
      <c r="B88" s="46" t="s">
        <v>1904</v>
      </c>
      <c r="C88" s="46" t="s">
        <v>1905</v>
      </c>
      <c r="D88" s="46" t="s">
        <v>1906</v>
      </c>
      <c r="E88" s="46" t="s">
        <v>23</v>
      </c>
      <c r="F88" s="46" t="s">
        <v>1529</v>
      </c>
      <c r="G88" s="46" t="s">
        <v>77</v>
      </c>
      <c r="H88" s="59" t="s">
        <v>83</v>
      </c>
      <c r="I88" s="59" t="s">
        <v>83</v>
      </c>
      <c r="J88" s="59"/>
      <c r="K88" s="46" t="s">
        <v>43</v>
      </c>
      <c r="L88" s="46" t="s">
        <v>48</v>
      </c>
      <c r="M88" s="59" t="s">
        <v>283</v>
      </c>
      <c r="N88" s="59"/>
      <c r="O88" s="46" t="s">
        <v>73</v>
      </c>
      <c r="P88" s="46" t="s">
        <v>83</v>
      </c>
      <c r="Q88" s="46" t="s">
        <v>106</v>
      </c>
      <c r="R88" s="59"/>
      <c r="S88" s="47" t="s">
        <v>1907</v>
      </c>
      <c r="T88" s="46" t="s">
        <v>1908</v>
      </c>
      <c r="U88" s="46" t="s">
        <v>27</v>
      </c>
      <c r="V88" s="58"/>
    </row>
    <row r="89" spans="1:22" ht="12.75">
      <c r="A89" s="45" t="s">
        <v>1909</v>
      </c>
      <c r="B89" s="46" t="s">
        <v>1910</v>
      </c>
      <c r="C89" s="46" t="s">
        <v>128</v>
      </c>
      <c r="D89" s="46" t="s">
        <v>1911</v>
      </c>
      <c r="E89" s="46" t="s">
        <v>1912</v>
      </c>
      <c r="F89" s="46" t="s">
        <v>1913</v>
      </c>
      <c r="G89" s="46" t="s">
        <v>73</v>
      </c>
      <c r="H89" s="46" t="s">
        <v>83</v>
      </c>
      <c r="I89" s="59" t="s">
        <v>115</v>
      </c>
      <c r="J89" s="59"/>
      <c r="K89" s="46" t="s">
        <v>42</v>
      </c>
      <c r="L89" s="46" t="s">
        <v>43</v>
      </c>
      <c r="M89" s="59" t="s">
        <v>121</v>
      </c>
      <c r="N89" s="59"/>
      <c r="O89" s="46" t="s">
        <v>83</v>
      </c>
      <c r="P89" s="46" t="s">
        <v>115</v>
      </c>
      <c r="Q89" s="59" t="s">
        <v>551</v>
      </c>
      <c r="R89" s="59"/>
      <c r="S89" s="47" t="s">
        <v>1907</v>
      </c>
      <c r="T89" s="46" t="s">
        <v>1914</v>
      </c>
      <c r="U89" s="46" t="s">
        <v>27</v>
      </c>
      <c r="V89" s="58"/>
    </row>
    <row r="90" spans="1:22" ht="12.75">
      <c r="A90" s="45" t="s">
        <v>1915</v>
      </c>
      <c r="B90" s="46" t="s">
        <v>1916</v>
      </c>
      <c r="C90" s="46" t="s">
        <v>127</v>
      </c>
      <c r="D90" s="46" t="s">
        <v>1917</v>
      </c>
      <c r="E90" s="46" t="s">
        <v>16</v>
      </c>
      <c r="F90" s="46" t="s">
        <v>1492</v>
      </c>
      <c r="G90" s="46" t="s">
        <v>63</v>
      </c>
      <c r="H90" s="46" t="s">
        <v>1392</v>
      </c>
      <c r="I90" s="46" t="s">
        <v>83</v>
      </c>
      <c r="J90" s="59"/>
      <c r="K90" s="46" t="s">
        <v>59</v>
      </c>
      <c r="L90" s="46" t="s">
        <v>301</v>
      </c>
      <c r="M90" s="46" t="s">
        <v>399</v>
      </c>
      <c r="N90" s="59"/>
      <c r="O90" s="46" t="s">
        <v>73</v>
      </c>
      <c r="P90" s="46" t="s">
        <v>103</v>
      </c>
      <c r="Q90" s="59" t="s">
        <v>106</v>
      </c>
      <c r="R90" s="59"/>
      <c r="S90" s="47" t="s">
        <v>1918</v>
      </c>
      <c r="T90" s="46" t="s">
        <v>1919</v>
      </c>
      <c r="U90" s="46" t="s">
        <v>1920</v>
      </c>
      <c r="V90" s="58"/>
    </row>
    <row r="91" spans="1:22" ht="12.75">
      <c r="A91" s="45" t="s">
        <v>1921</v>
      </c>
      <c r="B91" s="46" t="s">
        <v>1922</v>
      </c>
      <c r="C91" s="46" t="s">
        <v>1923</v>
      </c>
      <c r="D91" s="46" t="s">
        <v>1924</v>
      </c>
      <c r="E91" s="46" t="s">
        <v>16</v>
      </c>
      <c r="F91" s="46" t="s">
        <v>1492</v>
      </c>
      <c r="G91" s="46" t="s">
        <v>72</v>
      </c>
      <c r="H91" s="46" t="s">
        <v>116</v>
      </c>
      <c r="I91" s="46" t="s">
        <v>1925</v>
      </c>
      <c r="J91" s="59"/>
      <c r="K91" s="46" t="s">
        <v>99</v>
      </c>
      <c r="L91" s="59" t="s">
        <v>121</v>
      </c>
      <c r="M91" s="59" t="s">
        <v>121</v>
      </c>
      <c r="N91" s="59"/>
      <c r="O91" s="46" t="s">
        <v>77</v>
      </c>
      <c r="P91" s="59" t="s">
        <v>1925</v>
      </c>
      <c r="Q91" s="59" t="s">
        <v>1757</v>
      </c>
      <c r="R91" s="59"/>
      <c r="S91" s="47" t="s">
        <v>1926</v>
      </c>
      <c r="T91" s="46" t="s">
        <v>1927</v>
      </c>
      <c r="U91" s="46" t="s">
        <v>27</v>
      </c>
      <c r="V91" s="58"/>
    </row>
    <row r="92" spans="1:22" ht="12.75">
      <c r="A92" s="45" t="s">
        <v>1928</v>
      </c>
      <c r="B92" s="46" t="s">
        <v>1929</v>
      </c>
      <c r="C92" s="46" t="s">
        <v>1930</v>
      </c>
      <c r="D92" s="46" t="s">
        <v>1931</v>
      </c>
      <c r="E92" s="46" t="s">
        <v>16</v>
      </c>
      <c r="F92" s="46" t="s">
        <v>41</v>
      </c>
      <c r="G92" s="59" t="s">
        <v>73</v>
      </c>
      <c r="H92" s="46" t="s">
        <v>83</v>
      </c>
      <c r="I92" s="46" t="s">
        <v>115</v>
      </c>
      <c r="J92" s="59"/>
      <c r="K92" s="46" t="s">
        <v>59</v>
      </c>
      <c r="L92" s="59" t="s">
        <v>42</v>
      </c>
      <c r="M92" s="59" t="s">
        <v>42</v>
      </c>
      <c r="N92" s="59"/>
      <c r="O92" s="46" t="s">
        <v>65</v>
      </c>
      <c r="P92" s="46" t="s">
        <v>67</v>
      </c>
      <c r="Q92" s="59" t="s">
        <v>451</v>
      </c>
      <c r="R92" s="59"/>
      <c r="S92" s="47" t="s">
        <v>1932</v>
      </c>
      <c r="T92" s="46" t="s">
        <v>1933</v>
      </c>
      <c r="U92" s="46" t="s">
        <v>1545</v>
      </c>
      <c r="V92" s="58"/>
    </row>
    <row r="93" spans="1:22" ht="12.75">
      <c r="A93" s="45" t="s">
        <v>1934</v>
      </c>
      <c r="B93" s="46" t="s">
        <v>1935</v>
      </c>
      <c r="C93" s="46" t="s">
        <v>1930</v>
      </c>
      <c r="D93" s="46" t="s">
        <v>1931</v>
      </c>
      <c r="E93" s="46" t="s">
        <v>16</v>
      </c>
      <c r="F93" s="46" t="s">
        <v>1936</v>
      </c>
      <c r="G93" s="46" t="s">
        <v>74</v>
      </c>
      <c r="H93" s="46" t="s">
        <v>65</v>
      </c>
      <c r="I93" s="46" t="s">
        <v>67</v>
      </c>
      <c r="J93" s="59"/>
      <c r="K93" s="46" t="s">
        <v>123</v>
      </c>
      <c r="L93" s="46" t="s">
        <v>301</v>
      </c>
      <c r="M93" s="59" t="s">
        <v>99</v>
      </c>
      <c r="N93" s="59"/>
      <c r="O93" s="46" t="s">
        <v>67</v>
      </c>
      <c r="P93" s="46" t="s">
        <v>1392</v>
      </c>
      <c r="Q93" s="46" t="s">
        <v>1757</v>
      </c>
      <c r="R93" s="59"/>
      <c r="S93" s="47" t="s">
        <v>1932</v>
      </c>
      <c r="T93" s="46" t="s">
        <v>1933</v>
      </c>
      <c r="U93" s="46" t="s">
        <v>1937</v>
      </c>
      <c r="V93" s="58"/>
    </row>
    <row r="94" spans="1:22" ht="12.75">
      <c r="A94" s="45" t="s">
        <v>1938</v>
      </c>
      <c r="B94" s="46" t="s">
        <v>1939</v>
      </c>
      <c r="C94" s="46" t="s">
        <v>1940</v>
      </c>
      <c r="D94" s="46" t="s">
        <v>1941</v>
      </c>
      <c r="E94" s="46" t="s">
        <v>16</v>
      </c>
      <c r="F94" s="46" t="s">
        <v>118</v>
      </c>
      <c r="G94" s="46" t="s">
        <v>77</v>
      </c>
      <c r="H94" s="59" t="s">
        <v>83</v>
      </c>
      <c r="I94" s="59" t="s">
        <v>83</v>
      </c>
      <c r="J94" s="59"/>
      <c r="K94" s="46" t="s">
        <v>59</v>
      </c>
      <c r="L94" s="46" t="s">
        <v>42</v>
      </c>
      <c r="M94" s="59" t="s">
        <v>43</v>
      </c>
      <c r="N94" s="59"/>
      <c r="O94" s="46" t="s">
        <v>63</v>
      </c>
      <c r="P94" s="46" t="s">
        <v>73</v>
      </c>
      <c r="Q94" s="59" t="s">
        <v>83</v>
      </c>
      <c r="R94" s="59"/>
      <c r="S94" s="47" t="s">
        <v>1942</v>
      </c>
      <c r="T94" s="46" t="s">
        <v>1943</v>
      </c>
      <c r="U94" s="46" t="s">
        <v>27</v>
      </c>
      <c r="V94" s="58"/>
    </row>
    <row r="95" spans="1:22" ht="12.75">
      <c r="A95" s="45" t="s">
        <v>1944</v>
      </c>
      <c r="B95" s="46" t="s">
        <v>1945</v>
      </c>
      <c r="C95" s="46" t="s">
        <v>119</v>
      </c>
      <c r="D95" s="46" t="s">
        <v>1946</v>
      </c>
      <c r="E95" s="46" t="s">
        <v>16</v>
      </c>
      <c r="F95" s="46" t="s">
        <v>1947</v>
      </c>
      <c r="G95" s="59" t="s">
        <v>73</v>
      </c>
      <c r="H95" s="59" t="s">
        <v>73</v>
      </c>
      <c r="I95" s="46" t="s">
        <v>73</v>
      </c>
      <c r="J95" s="59"/>
      <c r="K95" s="46" t="s">
        <v>38</v>
      </c>
      <c r="L95" s="46" t="s">
        <v>35</v>
      </c>
      <c r="M95" s="59" t="s">
        <v>59</v>
      </c>
      <c r="N95" s="59"/>
      <c r="O95" s="46" t="s">
        <v>77</v>
      </c>
      <c r="P95" s="46" t="s">
        <v>73</v>
      </c>
      <c r="Q95" s="59" t="s">
        <v>103</v>
      </c>
      <c r="R95" s="59"/>
      <c r="S95" s="47" t="s">
        <v>1948</v>
      </c>
      <c r="T95" s="46" t="s">
        <v>1949</v>
      </c>
      <c r="U95" s="46" t="s">
        <v>27</v>
      </c>
      <c r="V95" s="58"/>
    </row>
    <row r="96" spans="1:22" ht="12.75">
      <c r="A96" s="45" t="s">
        <v>1950</v>
      </c>
      <c r="B96" s="46" t="s">
        <v>1951</v>
      </c>
      <c r="C96" s="46" t="s">
        <v>1905</v>
      </c>
      <c r="D96" s="46" t="s">
        <v>1906</v>
      </c>
      <c r="E96" s="46" t="s">
        <v>16</v>
      </c>
      <c r="F96" s="46" t="s">
        <v>108</v>
      </c>
      <c r="G96" s="46" t="s">
        <v>63</v>
      </c>
      <c r="H96" s="59" t="s">
        <v>451</v>
      </c>
      <c r="I96" s="59" t="s">
        <v>451</v>
      </c>
      <c r="J96" s="59"/>
      <c r="K96" s="46" t="s">
        <v>99</v>
      </c>
      <c r="L96" s="46" t="s">
        <v>537</v>
      </c>
      <c r="M96" s="59" t="s">
        <v>48</v>
      </c>
      <c r="N96" s="59"/>
      <c r="O96" s="46" t="s">
        <v>67</v>
      </c>
      <c r="P96" s="59" t="s">
        <v>80</v>
      </c>
      <c r="Q96" s="59" t="s">
        <v>80</v>
      </c>
      <c r="R96" s="59"/>
      <c r="S96" s="47" t="s">
        <v>1952</v>
      </c>
      <c r="T96" s="46" t="s">
        <v>1953</v>
      </c>
      <c r="U96" s="46" t="s">
        <v>27</v>
      </c>
      <c r="V96" s="58"/>
    </row>
    <row r="97" spans="1:22" ht="12.75">
      <c r="A97" s="45" t="s">
        <v>1954</v>
      </c>
      <c r="B97" s="46" t="s">
        <v>1955</v>
      </c>
      <c r="C97" s="46" t="s">
        <v>122</v>
      </c>
      <c r="D97" s="46" t="s">
        <v>1956</v>
      </c>
      <c r="E97" s="46" t="s">
        <v>16</v>
      </c>
      <c r="F97" s="46" t="s">
        <v>1492</v>
      </c>
      <c r="G97" s="46" t="s">
        <v>65</v>
      </c>
      <c r="H97" s="59" t="s">
        <v>77</v>
      </c>
      <c r="I97" s="59" t="s">
        <v>77</v>
      </c>
      <c r="J97" s="59"/>
      <c r="K97" s="46" t="s">
        <v>35</v>
      </c>
      <c r="L97" s="46" t="s">
        <v>59</v>
      </c>
      <c r="M97" s="59" t="s">
        <v>109</v>
      </c>
      <c r="N97" s="59"/>
      <c r="O97" s="46" t="s">
        <v>390</v>
      </c>
      <c r="P97" s="59" t="s">
        <v>551</v>
      </c>
      <c r="Q97" s="59" t="s">
        <v>551</v>
      </c>
      <c r="R97" s="59"/>
      <c r="S97" s="47" t="s">
        <v>1957</v>
      </c>
      <c r="T97" s="46" t="s">
        <v>1958</v>
      </c>
      <c r="U97" s="46" t="s">
        <v>27</v>
      </c>
      <c r="V97" s="58"/>
    </row>
    <row r="98" spans="1:22" ht="12.75">
      <c r="A98" s="45" t="s">
        <v>1959</v>
      </c>
      <c r="B98" s="46" t="s">
        <v>1960</v>
      </c>
      <c r="C98" s="46" t="s">
        <v>112</v>
      </c>
      <c r="D98" s="46" t="s">
        <v>1879</v>
      </c>
      <c r="E98" s="46" t="s">
        <v>1653</v>
      </c>
      <c r="F98" s="46" t="s">
        <v>1654</v>
      </c>
      <c r="G98" s="46" t="s">
        <v>74</v>
      </c>
      <c r="H98" s="46" t="s">
        <v>65</v>
      </c>
      <c r="I98" s="59" t="s">
        <v>63</v>
      </c>
      <c r="J98" s="59"/>
      <c r="K98" s="59" t="s">
        <v>33</v>
      </c>
      <c r="L98" s="46" t="s">
        <v>33</v>
      </c>
      <c r="M98" s="46" t="s">
        <v>36</v>
      </c>
      <c r="N98" s="59"/>
      <c r="O98" s="46" t="s">
        <v>74</v>
      </c>
      <c r="P98" s="46" t="s">
        <v>63</v>
      </c>
      <c r="Q98" s="59" t="s">
        <v>77</v>
      </c>
      <c r="R98" s="59"/>
      <c r="S98" s="47" t="s">
        <v>1961</v>
      </c>
      <c r="T98" s="46" t="s">
        <v>1962</v>
      </c>
      <c r="U98" s="46" t="s">
        <v>27</v>
      </c>
      <c r="V98" s="58"/>
    </row>
    <row r="99" spans="1:22" s="86" customFormat="1" ht="12.75">
      <c r="A99" s="81" t="s">
        <v>1878</v>
      </c>
      <c r="B99" s="82" t="s">
        <v>3559</v>
      </c>
      <c r="C99" s="82" t="s">
        <v>112</v>
      </c>
      <c r="D99" s="82" t="s">
        <v>1879</v>
      </c>
      <c r="E99" s="82" t="s">
        <v>23</v>
      </c>
      <c r="F99" s="82" t="s">
        <v>1880</v>
      </c>
      <c r="G99" s="82" t="s">
        <v>44</v>
      </c>
      <c r="H99" s="83" t="s">
        <v>57</v>
      </c>
      <c r="I99" s="82" t="s">
        <v>113</v>
      </c>
      <c r="J99" s="83"/>
      <c r="K99" s="82" t="s">
        <v>25</v>
      </c>
      <c r="L99" s="82" t="s">
        <v>33</v>
      </c>
      <c r="M99" s="83" t="s">
        <v>38</v>
      </c>
      <c r="N99" s="83"/>
      <c r="O99" s="82" t="s">
        <v>57</v>
      </c>
      <c r="P99" s="83" t="s">
        <v>65</v>
      </c>
      <c r="Q99" s="82" t="s">
        <v>65</v>
      </c>
      <c r="R99" s="83"/>
      <c r="S99" s="84" t="s">
        <v>1881</v>
      </c>
      <c r="T99" s="82" t="s">
        <v>1882</v>
      </c>
      <c r="U99" s="82" t="s">
        <v>27</v>
      </c>
      <c r="V99" s="85"/>
    </row>
    <row r="100" spans="1:22" ht="12.75">
      <c r="A100" s="45" t="s">
        <v>1963</v>
      </c>
      <c r="B100" s="46" t="s">
        <v>1964</v>
      </c>
      <c r="C100" s="46" t="s">
        <v>1965</v>
      </c>
      <c r="D100" s="46" t="s">
        <v>1966</v>
      </c>
      <c r="E100" s="46" t="s">
        <v>16</v>
      </c>
      <c r="F100" s="46" t="s">
        <v>124</v>
      </c>
      <c r="G100" s="59" t="s">
        <v>43</v>
      </c>
      <c r="H100" s="46" t="s">
        <v>48</v>
      </c>
      <c r="I100" s="59" t="s">
        <v>44</v>
      </c>
      <c r="J100" s="59"/>
      <c r="K100" s="46" t="s">
        <v>58</v>
      </c>
      <c r="L100" s="46" t="s">
        <v>38</v>
      </c>
      <c r="M100" s="46" t="s">
        <v>35</v>
      </c>
      <c r="N100" s="59"/>
      <c r="O100" s="46" t="s">
        <v>44</v>
      </c>
      <c r="P100" s="46" t="s">
        <v>56</v>
      </c>
      <c r="Q100" s="46" t="s">
        <v>88</v>
      </c>
      <c r="R100" s="59"/>
      <c r="S100" s="47" t="s">
        <v>1727</v>
      </c>
      <c r="T100" s="46" t="s">
        <v>1967</v>
      </c>
      <c r="U100" s="46" t="s">
        <v>27</v>
      </c>
      <c r="V100" s="58"/>
    </row>
    <row r="101" spans="1:22" ht="12.75">
      <c r="A101" s="45" t="s">
        <v>1968</v>
      </c>
      <c r="B101" s="46" t="s">
        <v>1969</v>
      </c>
      <c r="C101" s="46" t="s">
        <v>120</v>
      </c>
      <c r="D101" s="46" t="s">
        <v>1970</v>
      </c>
      <c r="E101" s="46" t="s">
        <v>16</v>
      </c>
      <c r="F101" s="46" t="s">
        <v>1492</v>
      </c>
      <c r="G101" s="46" t="s">
        <v>42</v>
      </c>
      <c r="H101" s="59" t="s">
        <v>121</v>
      </c>
      <c r="I101" s="59" t="s">
        <v>48</v>
      </c>
      <c r="J101" s="59"/>
      <c r="K101" s="46" t="s">
        <v>24</v>
      </c>
      <c r="L101" s="46" t="s">
        <v>25</v>
      </c>
      <c r="M101" s="59" t="s">
        <v>33</v>
      </c>
      <c r="N101" s="59"/>
      <c r="O101" s="46" t="s">
        <v>44</v>
      </c>
      <c r="P101" s="46" t="s">
        <v>56</v>
      </c>
      <c r="Q101" s="46" t="s">
        <v>57</v>
      </c>
      <c r="R101" s="59"/>
      <c r="S101" s="47" t="s">
        <v>1697</v>
      </c>
      <c r="T101" s="46" t="s">
        <v>1971</v>
      </c>
      <c r="U101" s="46" t="s">
        <v>27</v>
      </c>
      <c r="V101" s="58"/>
    </row>
    <row r="102" spans="1:22" ht="12.75">
      <c r="A102" s="45" t="s">
        <v>1903</v>
      </c>
      <c r="B102" s="46" t="s">
        <v>1904</v>
      </c>
      <c r="C102" s="46" t="s">
        <v>1905</v>
      </c>
      <c r="D102" s="46" t="s">
        <v>1906</v>
      </c>
      <c r="E102" s="46" t="s">
        <v>23</v>
      </c>
      <c r="F102" s="46" t="s">
        <v>1529</v>
      </c>
      <c r="G102" s="59" t="s">
        <v>77</v>
      </c>
      <c r="H102" s="59"/>
      <c r="I102" s="59"/>
      <c r="J102" s="59"/>
      <c r="K102" s="59" t="s">
        <v>43</v>
      </c>
      <c r="L102" s="59"/>
      <c r="M102" s="59"/>
      <c r="N102" s="59"/>
      <c r="O102" s="59" t="s">
        <v>73</v>
      </c>
      <c r="P102" s="59"/>
      <c r="Q102" s="59"/>
      <c r="R102" s="59"/>
      <c r="S102" s="47" t="s">
        <v>1635</v>
      </c>
      <c r="T102" s="46" t="s">
        <v>1636</v>
      </c>
      <c r="U102" s="46" t="s">
        <v>1972</v>
      </c>
      <c r="V102" s="58"/>
    </row>
    <row r="103" spans="1:22" ht="12.75">
      <c r="A103" s="45" t="s">
        <v>1938</v>
      </c>
      <c r="B103" s="46" t="s">
        <v>1939</v>
      </c>
      <c r="C103" s="46" t="s">
        <v>1940</v>
      </c>
      <c r="D103" s="46" t="s">
        <v>1941</v>
      </c>
      <c r="E103" s="46" t="s">
        <v>16</v>
      </c>
      <c r="F103" s="46" t="s">
        <v>118</v>
      </c>
      <c r="G103" s="59" t="s">
        <v>77</v>
      </c>
      <c r="H103" s="59"/>
      <c r="I103" s="59"/>
      <c r="J103" s="59"/>
      <c r="K103" s="59" t="s">
        <v>59</v>
      </c>
      <c r="L103" s="59"/>
      <c r="M103" s="59"/>
      <c r="N103" s="59"/>
      <c r="O103" s="59" t="s">
        <v>63</v>
      </c>
      <c r="P103" s="59"/>
      <c r="Q103" s="59"/>
      <c r="R103" s="59"/>
      <c r="S103" s="47" t="s">
        <v>1635</v>
      </c>
      <c r="T103" s="46" t="s">
        <v>1636</v>
      </c>
      <c r="U103" s="46" t="s">
        <v>27</v>
      </c>
      <c r="V103" s="58"/>
    </row>
    <row r="104" spans="1:22" ht="12.75">
      <c r="A104" s="45" t="s">
        <v>1973</v>
      </c>
      <c r="B104" s="46" t="s">
        <v>1974</v>
      </c>
      <c r="C104" s="46" t="s">
        <v>131</v>
      </c>
      <c r="D104" s="46" t="s">
        <v>1975</v>
      </c>
      <c r="E104" s="46" t="s">
        <v>16</v>
      </c>
      <c r="F104" s="46" t="s">
        <v>1976</v>
      </c>
      <c r="G104" s="46" t="s">
        <v>74</v>
      </c>
      <c r="H104" s="46" t="s">
        <v>79</v>
      </c>
      <c r="I104" s="46" t="s">
        <v>67</v>
      </c>
      <c r="J104" s="59"/>
      <c r="K104" s="46" t="s">
        <v>43</v>
      </c>
      <c r="L104" s="46" t="s">
        <v>121</v>
      </c>
      <c r="M104" s="46" t="s">
        <v>536</v>
      </c>
      <c r="N104" s="59"/>
      <c r="O104" s="46" t="s">
        <v>65</v>
      </c>
      <c r="P104" s="46" t="s">
        <v>72</v>
      </c>
      <c r="Q104" s="46" t="s">
        <v>451</v>
      </c>
      <c r="R104" s="59"/>
      <c r="S104" s="47" t="s">
        <v>1977</v>
      </c>
      <c r="T104" s="46" t="s">
        <v>1978</v>
      </c>
      <c r="U104" s="46" t="s">
        <v>27</v>
      </c>
      <c r="V104" s="58"/>
    </row>
    <row r="105" spans="1:22" ht="12.75">
      <c r="A105" s="45" t="s">
        <v>1979</v>
      </c>
      <c r="B105" s="46" t="s">
        <v>1980</v>
      </c>
      <c r="C105" s="46" t="s">
        <v>132</v>
      </c>
      <c r="D105" s="46" t="s">
        <v>1981</v>
      </c>
      <c r="E105" s="46" t="s">
        <v>1725</v>
      </c>
      <c r="F105" s="46" t="s">
        <v>1982</v>
      </c>
      <c r="G105" s="46" t="s">
        <v>79</v>
      </c>
      <c r="H105" s="59" t="s">
        <v>72</v>
      </c>
      <c r="I105" s="59" t="s">
        <v>72</v>
      </c>
      <c r="J105" s="59"/>
      <c r="K105" s="46" t="s">
        <v>38</v>
      </c>
      <c r="L105" s="46" t="s">
        <v>36</v>
      </c>
      <c r="M105" s="46" t="s">
        <v>123</v>
      </c>
      <c r="N105" s="59"/>
      <c r="O105" s="46" t="s">
        <v>116</v>
      </c>
      <c r="P105" s="46" t="s">
        <v>83</v>
      </c>
      <c r="Q105" s="59" t="s">
        <v>447</v>
      </c>
      <c r="R105" s="59"/>
      <c r="S105" s="47" t="s">
        <v>1983</v>
      </c>
      <c r="T105" s="46" t="s">
        <v>1984</v>
      </c>
      <c r="U105" s="46" t="s">
        <v>1985</v>
      </c>
      <c r="V105" s="58"/>
    </row>
    <row r="106" spans="1:22" ht="12.75">
      <c r="A106" s="45" t="s">
        <v>455</v>
      </c>
      <c r="B106" s="46" t="s">
        <v>488</v>
      </c>
      <c r="C106" s="46" t="s">
        <v>1986</v>
      </c>
      <c r="D106" s="46" t="s">
        <v>1987</v>
      </c>
      <c r="E106" s="46" t="s">
        <v>23</v>
      </c>
      <c r="F106" s="46" t="s">
        <v>458</v>
      </c>
      <c r="G106" s="46" t="s">
        <v>63</v>
      </c>
      <c r="H106" s="59"/>
      <c r="I106" s="59"/>
      <c r="J106" s="59"/>
      <c r="K106" s="46" t="s">
        <v>35</v>
      </c>
      <c r="L106" s="59"/>
      <c r="M106" s="59"/>
      <c r="N106" s="59"/>
      <c r="O106" s="46" t="s">
        <v>77</v>
      </c>
      <c r="P106" s="59"/>
      <c r="Q106" s="59"/>
      <c r="R106" s="59"/>
      <c r="S106" s="47" t="s">
        <v>1988</v>
      </c>
      <c r="T106" s="46" t="s">
        <v>1989</v>
      </c>
      <c r="U106" s="46" t="s">
        <v>27</v>
      </c>
      <c r="V106" s="58"/>
    </row>
    <row r="107" spans="1:22" ht="12.75">
      <c r="A107" s="45" t="s">
        <v>1990</v>
      </c>
      <c r="B107" s="46" t="s">
        <v>1991</v>
      </c>
      <c r="C107" s="46" t="s">
        <v>129</v>
      </c>
      <c r="D107" s="46" t="s">
        <v>1992</v>
      </c>
      <c r="E107" s="46" t="s">
        <v>16</v>
      </c>
      <c r="F107" s="46" t="s">
        <v>1993</v>
      </c>
      <c r="G107" s="46" t="s">
        <v>56</v>
      </c>
      <c r="H107" s="59" t="s">
        <v>57</v>
      </c>
      <c r="I107" s="46" t="s">
        <v>57</v>
      </c>
      <c r="J107" s="59"/>
      <c r="K107" s="59" t="s">
        <v>308</v>
      </c>
      <c r="L107" s="46" t="s">
        <v>33</v>
      </c>
      <c r="M107" s="46" t="s">
        <v>38</v>
      </c>
      <c r="N107" s="59"/>
      <c r="O107" s="46" t="s">
        <v>56</v>
      </c>
      <c r="P107" s="46" t="s">
        <v>57</v>
      </c>
      <c r="Q107" s="59" t="s">
        <v>113</v>
      </c>
      <c r="R107" s="59"/>
      <c r="S107" s="47" t="s">
        <v>1994</v>
      </c>
      <c r="T107" s="46" t="s">
        <v>1995</v>
      </c>
      <c r="U107" s="46" t="s">
        <v>1996</v>
      </c>
      <c r="V107" s="58"/>
    </row>
    <row r="108" spans="1:22" ht="12.75">
      <c r="A108" s="45" t="s">
        <v>1997</v>
      </c>
      <c r="B108" s="46" t="s">
        <v>1998</v>
      </c>
      <c r="C108" s="46" t="s">
        <v>119</v>
      </c>
      <c r="D108" s="46" t="s">
        <v>1946</v>
      </c>
      <c r="E108" s="46" t="s">
        <v>16</v>
      </c>
      <c r="F108" s="46" t="s">
        <v>134</v>
      </c>
      <c r="G108" s="46" t="s">
        <v>57</v>
      </c>
      <c r="H108" s="46" t="s">
        <v>292</v>
      </c>
      <c r="I108" s="46" t="s">
        <v>65</v>
      </c>
      <c r="J108" s="59"/>
      <c r="K108" s="46" t="s">
        <v>18</v>
      </c>
      <c r="L108" s="46" t="s">
        <v>24</v>
      </c>
      <c r="M108" s="59"/>
      <c r="N108" s="59"/>
      <c r="O108" s="46" t="s">
        <v>74</v>
      </c>
      <c r="P108" s="46" t="s">
        <v>67</v>
      </c>
      <c r="Q108" s="46" t="s">
        <v>77</v>
      </c>
      <c r="R108" s="59"/>
      <c r="S108" s="47" t="s">
        <v>1826</v>
      </c>
      <c r="T108" s="46" t="s">
        <v>1999</v>
      </c>
      <c r="U108" s="46" t="s">
        <v>2000</v>
      </c>
      <c r="V108" s="58"/>
    </row>
    <row r="109" spans="1:22" ht="12.75">
      <c r="A109" s="45" t="s">
        <v>2001</v>
      </c>
      <c r="B109" s="46" t="s">
        <v>2002</v>
      </c>
      <c r="C109" s="46" t="s">
        <v>2003</v>
      </c>
      <c r="D109" s="46" t="s">
        <v>2004</v>
      </c>
      <c r="E109" s="46" t="s">
        <v>2005</v>
      </c>
      <c r="F109" s="46" t="s">
        <v>2006</v>
      </c>
      <c r="G109" s="46" t="s">
        <v>56</v>
      </c>
      <c r="H109" s="59" t="s">
        <v>57</v>
      </c>
      <c r="I109" s="46" t="s">
        <v>113</v>
      </c>
      <c r="J109" s="59"/>
      <c r="K109" s="46" t="s">
        <v>38</v>
      </c>
      <c r="L109" s="46" t="s">
        <v>35</v>
      </c>
      <c r="M109" s="59" t="s">
        <v>36</v>
      </c>
      <c r="N109" s="59"/>
      <c r="O109" s="46" t="s">
        <v>113</v>
      </c>
      <c r="P109" s="46" t="s">
        <v>292</v>
      </c>
      <c r="Q109" s="59" t="s">
        <v>468</v>
      </c>
      <c r="R109" s="59"/>
      <c r="S109" s="47" t="s">
        <v>2007</v>
      </c>
      <c r="T109" s="46" t="s">
        <v>2008</v>
      </c>
      <c r="U109" s="46" t="s">
        <v>27</v>
      </c>
      <c r="V109" s="58"/>
    </row>
    <row r="110" spans="1:22" ht="12.75">
      <c r="A110" s="45" t="s">
        <v>2009</v>
      </c>
      <c r="B110" s="46" t="s">
        <v>2010</v>
      </c>
      <c r="C110" s="46" t="s">
        <v>133</v>
      </c>
      <c r="D110" s="46" t="s">
        <v>2011</v>
      </c>
      <c r="E110" s="46" t="s">
        <v>16</v>
      </c>
      <c r="F110" s="46" t="s">
        <v>108</v>
      </c>
      <c r="G110" s="46" t="s">
        <v>43</v>
      </c>
      <c r="H110" s="46" t="s">
        <v>44</v>
      </c>
      <c r="I110" s="46" t="s">
        <v>88</v>
      </c>
      <c r="J110" s="59"/>
      <c r="K110" s="46" t="s">
        <v>25</v>
      </c>
      <c r="L110" s="59" t="s">
        <v>308</v>
      </c>
      <c r="M110" s="46" t="s">
        <v>308</v>
      </c>
      <c r="N110" s="59"/>
      <c r="O110" s="46" t="s">
        <v>48</v>
      </c>
      <c r="P110" s="46" t="s">
        <v>56</v>
      </c>
      <c r="Q110" s="46" t="s">
        <v>57</v>
      </c>
      <c r="R110" s="59"/>
      <c r="S110" s="47" t="s">
        <v>2012</v>
      </c>
      <c r="T110" s="46" t="s">
        <v>2013</v>
      </c>
      <c r="U110" s="46" t="s">
        <v>27</v>
      </c>
      <c r="V110" s="58"/>
    </row>
    <row r="111" spans="1:22" ht="12.75">
      <c r="A111" s="48" t="s">
        <v>2014</v>
      </c>
      <c r="B111" s="49" t="s">
        <v>2015</v>
      </c>
      <c r="C111" s="49" t="s">
        <v>135</v>
      </c>
      <c r="D111" s="49" t="s">
        <v>2016</v>
      </c>
      <c r="E111" s="49" t="s">
        <v>23</v>
      </c>
      <c r="F111" s="49" t="s">
        <v>1865</v>
      </c>
      <c r="G111" s="49" t="s">
        <v>42</v>
      </c>
      <c r="H111" s="49" t="s">
        <v>48</v>
      </c>
      <c r="I111" s="60" t="s">
        <v>56</v>
      </c>
      <c r="J111" s="60"/>
      <c r="K111" s="49" t="s">
        <v>24</v>
      </c>
      <c r="L111" s="49" t="s">
        <v>30</v>
      </c>
      <c r="M111" s="49" t="s">
        <v>25</v>
      </c>
      <c r="N111" s="60"/>
      <c r="O111" s="49" t="s">
        <v>57</v>
      </c>
      <c r="P111" s="49" t="s">
        <v>68</v>
      </c>
      <c r="Q111" s="49" t="s">
        <v>79</v>
      </c>
      <c r="R111" s="60"/>
      <c r="S111" s="50" t="s">
        <v>2017</v>
      </c>
      <c r="T111" s="49" t="s">
        <v>2018</v>
      </c>
      <c r="U111" s="49" t="s">
        <v>27</v>
      </c>
      <c r="V111" s="58"/>
    </row>
    <row r="112" spans="1:21" ht="12.75">
      <c r="A112" s="33"/>
      <c r="B112" s="29"/>
      <c r="C112" s="29"/>
      <c r="D112" s="29"/>
      <c r="E112" s="30"/>
      <c r="F112" s="30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3"/>
      <c r="T112" s="29"/>
      <c r="U112" s="30"/>
    </row>
    <row r="113" spans="1:21" ht="15">
      <c r="A113" s="117" t="s">
        <v>136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30"/>
    </row>
    <row r="114" spans="1:21" ht="12.75">
      <c r="A114" s="42" t="s">
        <v>2964</v>
      </c>
      <c r="B114" s="73" t="s">
        <v>2965</v>
      </c>
      <c r="C114" s="73" t="s">
        <v>1127</v>
      </c>
      <c r="D114" s="73" t="s">
        <v>2966</v>
      </c>
      <c r="E114" s="43" t="s">
        <v>16</v>
      </c>
      <c r="F114" s="43" t="s">
        <v>1492</v>
      </c>
      <c r="G114" s="73" t="s">
        <v>44</v>
      </c>
      <c r="H114" s="73" t="s">
        <v>56</v>
      </c>
      <c r="I114" s="73" t="s">
        <v>57</v>
      </c>
      <c r="J114" s="74"/>
      <c r="K114" s="73" t="s">
        <v>30</v>
      </c>
      <c r="L114" s="73" t="s">
        <v>33</v>
      </c>
      <c r="M114" s="73" t="s">
        <v>38</v>
      </c>
      <c r="N114" s="74"/>
      <c r="O114" s="73" t="s">
        <v>56</v>
      </c>
      <c r="P114" s="73" t="s">
        <v>57</v>
      </c>
      <c r="Q114" s="74" t="s">
        <v>74</v>
      </c>
      <c r="R114" s="74"/>
      <c r="S114" s="44" t="s">
        <v>1994</v>
      </c>
      <c r="T114" s="73" t="s">
        <v>2967</v>
      </c>
      <c r="U114" s="43" t="s">
        <v>3192</v>
      </c>
    </row>
    <row r="115" spans="1:21" ht="12.75">
      <c r="A115" s="45" t="s">
        <v>2968</v>
      </c>
      <c r="B115" s="75" t="s">
        <v>2969</v>
      </c>
      <c r="C115" s="75" t="s">
        <v>137</v>
      </c>
      <c r="D115" s="75" t="s">
        <v>2423</v>
      </c>
      <c r="E115" s="46" t="s">
        <v>16</v>
      </c>
      <c r="F115" s="46" t="s">
        <v>369</v>
      </c>
      <c r="G115" s="75" t="s">
        <v>549</v>
      </c>
      <c r="H115" s="75" t="s">
        <v>1804</v>
      </c>
      <c r="I115" s="76" t="s">
        <v>2540</v>
      </c>
      <c r="J115" s="76"/>
      <c r="K115" s="75" t="s">
        <v>56</v>
      </c>
      <c r="L115" s="76" t="s">
        <v>57</v>
      </c>
      <c r="M115" s="76" t="s">
        <v>57</v>
      </c>
      <c r="N115" s="76"/>
      <c r="O115" s="75" t="s">
        <v>106</v>
      </c>
      <c r="P115" s="75" t="s">
        <v>549</v>
      </c>
      <c r="Q115" s="75" t="s">
        <v>1804</v>
      </c>
      <c r="R115" s="75" t="s">
        <v>2622</v>
      </c>
      <c r="S115" s="47" t="s">
        <v>2970</v>
      </c>
      <c r="T115" s="75" t="s">
        <v>2971</v>
      </c>
      <c r="U115" s="46" t="s">
        <v>27</v>
      </c>
    </row>
    <row r="116" spans="1:21" ht="12.75">
      <c r="A116" s="45" t="s">
        <v>2972</v>
      </c>
      <c r="B116" s="75" t="s">
        <v>2973</v>
      </c>
      <c r="C116" s="75" t="s">
        <v>2974</v>
      </c>
      <c r="D116" s="75" t="s">
        <v>2975</v>
      </c>
      <c r="E116" s="46" t="s">
        <v>16</v>
      </c>
      <c r="F116" s="46" t="s">
        <v>2976</v>
      </c>
      <c r="G116" s="75" t="s">
        <v>83</v>
      </c>
      <c r="H116" s="75" t="s">
        <v>115</v>
      </c>
      <c r="I116" s="75" t="s">
        <v>106</v>
      </c>
      <c r="J116" s="76"/>
      <c r="K116" s="75" t="s">
        <v>35</v>
      </c>
      <c r="L116" s="75" t="s">
        <v>59</v>
      </c>
      <c r="M116" s="75" t="s">
        <v>42</v>
      </c>
      <c r="N116" s="76"/>
      <c r="O116" s="75" t="s">
        <v>77</v>
      </c>
      <c r="P116" s="75" t="s">
        <v>83</v>
      </c>
      <c r="Q116" s="75" t="s">
        <v>106</v>
      </c>
      <c r="R116" s="76"/>
      <c r="S116" s="47" t="s">
        <v>1790</v>
      </c>
      <c r="T116" s="75" t="s">
        <v>2977</v>
      </c>
      <c r="U116" s="46" t="s">
        <v>2978</v>
      </c>
    </row>
    <row r="117" spans="1:21" ht="12.75">
      <c r="A117" s="45" t="s">
        <v>2979</v>
      </c>
      <c r="B117" s="75" t="s">
        <v>2980</v>
      </c>
      <c r="C117" s="75" t="s">
        <v>2981</v>
      </c>
      <c r="D117" s="75" t="s">
        <v>2982</v>
      </c>
      <c r="E117" s="46" t="s">
        <v>16</v>
      </c>
      <c r="F117" s="46" t="s">
        <v>2983</v>
      </c>
      <c r="G117" s="76" t="s">
        <v>57</v>
      </c>
      <c r="H117" s="75" t="s">
        <v>57</v>
      </c>
      <c r="I117" s="75" t="s">
        <v>79</v>
      </c>
      <c r="J117" s="76"/>
      <c r="K117" s="75" t="s">
        <v>36</v>
      </c>
      <c r="L117" s="75" t="s">
        <v>109</v>
      </c>
      <c r="M117" s="76" t="s">
        <v>42</v>
      </c>
      <c r="N117" s="76"/>
      <c r="O117" s="75" t="s">
        <v>77</v>
      </c>
      <c r="P117" s="76" t="s">
        <v>390</v>
      </c>
      <c r="Q117" s="75" t="s">
        <v>390</v>
      </c>
      <c r="R117" s="76"/>
      <c r="S117" s="47" t="s">
        <v>1952</v>
      </c>
      <c r="T117" s="75" t="s">
        <v>2984</v>
      </c>
      <c r="U117" s="46" t="s">
        <v>27</v>
      </c>
    </row>
    <row r="118" spans="1:21" ht="12.75">
      <c r="A118" s="45" t="s">
        <v>2985</v>
      </c>
      <c r="B118" s="75" t="s">
        <v>2986</v>
      </c>
      <c r="C118" s="75" t="s">
        <v>2987</v>
      </c>
      <c r="D118" s="75" t="s">
        <v>2988</v>
      </c>
      <c r="E118" s="46" t="s">
        <v>16</v>
      </c>
      <c r="F118" s="46" t="s">
        <v>1492</v>
      </c>
      <c r="G118" s="76" t="s">
        <v>63</v>
      </c>
      <c r="H118" s="75" t="s">
        <v>63</v>
      </c>
      <c r="I118" s="76" t="s">
        <v>77</v>
      </c>
      <c r="J118" s="76"/>
      <c r="K118" s="75" t="s">
        <v>38</v>
      </c>
      <c r="L118" s="75" t="s">
        <v>36</v>
      </c>
      <c r="M118" s="76" t="s">
        <v>59</v>
      </c>
      <c r="N118" s="76"/>
      <c r="O118" s="75" t="s">
        <v>72</v>
      </c>
      <c r="P118" s="76" t="s">
        <v>77</v>
      </c>
      <c r="Q118" s="76" t="s">
        <v>1392</v>
      </c>
      <c r="R118" s="76"/>
      <c r="S118" s="47" t="s">
        <v>1988</v>
      </c>
      <c r="T118" s="75" t="s">
        <v>2989</v>
      </c>
      <c r="U118" s="46" t="s">
        <v>27</v>
      </c>
    </row>
    <row r="119" spans="1:21" ht="12.75">
      <c r="A119" s="45" t="s">
        <v>2990</v>
      </c>
      <c r="B119" s="75" t="s">
        <v>2991</v>
      </c>
      <c r="C119" s="75" t="s">
        <v>528</v>
      </c>
      <c r="D119" s="75" t="s">
        <v>2992</v>
      </c>
      <c r="E119" s="46" t="s">
        <v>16</v>
      </c>
      <c r="F119" s="46" t="s">
        <v>999</v>
      </c>
      <c r="G119" s="75" t="s">
        <v>1367</v>
      </c>
      <c r="H119" s="75" t="s">
        <v>1804</v>
      </c>
      <c r="I119" s="75" t="s">
        <v>2707</v>
      </c>
      <c r="J119" s="76"/>
      <c r="K119" s="76" t="s">
        <v>48</v>
      </c>
      <c r="L119" s="75" t="s">
        <v>48</v>
      </c>
      <c r="M119" s="75" t="s">
        <v>284</v>
      </c>
      <c r="N119" s="76"/>
      <c r="O119" s="75" t="s">
        <v>485</v>
      </c>
      <c r="P119" s="75" t="s">
        <v>1367</v>
      </c>
      <c r="Q119" s="75" t="s">
        <v>1804</v>
      </c>
      <c r="R119" s="75" t="s">
        <v>2726</v>
      </c>
      <c r="S119" s="47" t="s">
        <v>2993</v>
      </c>
      <c r="T119" s="75" t="s">
        <v>2994</v>
      </c>
      <c r="U119" s="46" t="s">
        <v>27</v>
      </c>
    </row>
    <row r="120" spans="1:21" ht="12.75">
      <c r="A120" s="45" t="s">
        <v>2995</v>
      </c>
      <c r="B120" s="75" t="s">
        <v>2996</v>
      </c>
      <c r="C120" s="75" t="s">
        <v>1121</v>
      </c>
      <c r="D120" s="75" t="s">
        <v>2997</v>
      </c>
      <c r="E120" s="46" t="s">
        <v>23</v>
      </c>
      <c r="F120" s="46" t="s">
        <v>2174</v>
      </c>
      <c r="G120" s="75" t="s">
        <v>485</v>
      </c>
      <c r="H120" s="75" t="s">
        <v>1367</v>
      </c>
      <c r="I120" s="75" t="s">
        <v>1804</v>
      </c>
      <c r="J120" s="76"/>
      <c r="K120" s="75" t="s">
        <v>56</v>
      </c>
      <c r="L120" s="75" t="s">
        <v>370</v>
      </c>
      <c r="M120" s="76" t="s">
        <v>411</v>
      </c>
      <c r="N120" s="76"/>
      <c r="O120" s="75" t="s">
        <v>513</v>
      </c>
      <c r="P120" s="75" t="s">
        <v>2669</v>
      </c>
      <c r="Q120" s="75" t="s">
        <v>2550</v>
      </c>
      <c r="R120" s="76"/>
      <c r="S120" s="47" t="s">
        <v>2998</v>
      </c>
      <c r="T120" s="75" t="s">
        <v>2999</v>
      </c>
      <c r="U120" s="46" t="s">
        <v>27</v>
      </c>
    </row>
    <row r="121" spans="1:21" ht="12.75">
      <c r="A121" s="45" t="s">
        <v>3000</v>
      </c>
      <c r="B121" s="75" t="s">
        <v>3001</v>
      </c>
      <c r="C121" s="75" t="s">
        <v>3002</v>
      </c>
      <c r="D121" s="75" t="s">
        <v>3003</v>
      </c>
      <c r="E121" s="46" t="s">
        <v>16</v>
      </c>
      <c r="F121" s="46" t="s">
        <v>3004</v>
      </c>
      <c r="G121" s="75" t="s">
        <v>1804</v>
      </c>
      <c r="H121" s="76" t="s">
        <v>2586</v>
      </c>
      <c r="I121" s="75" t="s">
        <v>2586</v>
      </c>
      <c r="J121" s="76"/>
      <c r="K121" s="75" t="s">
        <v>59</v>
      </c>
      <c r="L121" s="76" t="s">
        <v>348</v>
      </c>
      <c r="M121" s="75" t="s">
        <v>348</v>
      </c>
      <c r="N121" s="76"/>
      <c r="O121" s="75" t="s">
        <v>485</v>
      </c>
      <c r="P121" s="75" t="s">
        <v>550</v>
      </c>
      <c r="Q121" s="76" t="s">
        <v>2540</v>
      </c>
      <c r="R121" s="76"/>
      <c r="S121" s="47" t="s">
        <v>3005</v>
      </c>
      <c r="T121" s="75" t="s">
        <v>3006</v>
      </c>
      <c r="U121" s="46" t="s">
        <v>27</v>
      </c>
    </row>
    <row r="122" spans="1:21" ht="12.75">
      <c r="A122" s="45" t="s">
        <v>3007</v>
      </c>
      <c r="B122" s="75" t="s">
        <v>3008</v>
      </c>
      <c r="C122" s="75" t="s">
        <v>137</v>
      </c>
      <c r="D122" s="75" t="s">
        <v>2423</v>
      </c>
      <c r="E122" s="46" t="s">
        <v>16</v>
      </c>
      <c r="F122" s="46" t="s">
        <v>364</v>
      </c>
      <c r="G122" s="76" t="s">
        <v>115</v>
      </c>
      <c r="H122" s="75" t="s">
        <v>115</v>
      </c>
      <c r="I122" s="75" t="s">
        <v>551</v>
      </c>
      <c r="J122" s="76"/>
      <c r="K122" s="76" t="s">
        <v>49</v>
      </c>
      <c r="L122" s="75" t="s">
        <v>307</v>
      </c>
      <c r="M122" s="75" t="s">
        <v>370</v>
      </c>
      <c r="N122" s="76"/>
      <c r="O122" s="76" t="s">
        <v>549</v>
      </c>
      <c r="P122" s="75" t="s">
        <v>549</v>
      </c>
      <c r="Q122" s="76" t="s">
        <v>3009</v>
      </c>
      <c r="R122" s="76"/>
      <c r="S122" s="47" t="s">
        <v>3010</v>
      </c>
      <c r="T122" s="75" t="s">
        <v>3011</v>
      </c>
      <c r="U122" s="46" t="s">
        <v>27</v>
      </c>
    </row>
    <row r="123" spans="1:21" ht="12.75">
      <c r="A123" s="45" t="s">
        <v>3012</v>
      </c>
      <c r="B123" s="75" t="s">
        <v>3013</v>
      </c>
      <c r="C123" s="75" t="s">
        <v>3014</v>
      </c>
      <c r="D123" s="75" t="s">
        <v>3015</v>
      </c>
      <c r="E123" s="46" t="s">
        <v>16</v>
      </c>
      <c r="F123" s="46" t="s">
        <v>3016</v>
      </c>
      <c r="G123" s="75" t="s">
        <v>115</v>
      </c>
      <c r="H123" s="75" t="s">
        <v>551</v>
      </c>
      <c r="I123" s="75" t="s">
        <v>2550</v>
      </c>
      <c r="J123" s="76"/>
      <c r="K123" s="75" t="s">
        <v>56</v>
      </c>
      <c r="L123" s="75" t="s">
        <v>113</v>
      </c>
      <c r="M123" s="76" t="s">
        <v>74</v>
      </c>
      <c r="N123" s="76"/>
      <c r="O123" s="76" t="s">
        <v>83</v>
      </c>
      <c r="P123" s="75" t="s">
        <v>115</v>
      </c>
      <c r="Q123" s="76" t="s">
        <v>106</v>
      </c>
      <c r="R123" s="76"/>
      <c r="S123" s="47" t="s">
        <v>3017</v>
      </c>
      <c r="T123" s="75" t="s">
        <v>3018</v>
      </c>
      <c r="U123" s="46" t="s">
        <v>27</v>
      </c>
    </row>
    <row r="124" spans="1:21" ht="12.75">
      <c r="A124" s="45" t="s">
        <v>3019</v>
      </c>
      <c r="B124" s="75" t="s">
        <v>3020</v>
      </c>
      <c r="C124" s="75" t="s">
        <v>3021</v>
      </c>
      <c r="D124" s="75" t="s">
        <v>3022</v>
      </c>
      <c r="E124" s="46" t="s">
        <v>16</v>
      </c>
      <c r="F124" s="46" t="s">
        <v>1492</v>
      </c>
      <c r="G124" s="75" t="s">
        <v>513</v>
      </c>
      <c r="H124" s="76" t="s">
        <v>485</v>
      </c>
      <c r="I124" s="76" t="s">
        <v>485</v>
      </c>
      <c r="J124" s="76"/>
      <c r="K124" s="75" t="s">
        <v>121</v>
      </c>
      <c r="L124" s="75" t="s">
        <v>283</v>
      </c>
      <c r="M124" s="76" t="s">
        <v>44</v>
      </c>
      <c r="N124" s="76"/>
      <c r="O124" s="75" t="s">
        <v>106</v>
      </c>
      <c r="P124" s="75" t="s">
        <v>485</v>
      </c>
      <c r="Q124" s="76" t="s">
        <v>1367</v>
      </c>
      <c r="R124" s="76"/>
      <c r="S124" s="47" t="s">
        <v>3023</v>
      </c>
      <c r="T124" s="75" t="s">
        <v>3024</v>
      </c>
      <c r="U124" s="46" t="s">
        <v>27</v>
      </c>
    </row>
    <row r="125" spans="1:21" ht="12.75">
      <c r="A125" s="45" t="s">
        <v>2679</v>
      </c>
      <c r="B125" s="75" t="s">
        <v>2680</v>
      </c>
      <c r="C125" s="75" t="s">
        <v>540</v>
      </c>
      <c r="D125" s="75" t="s">
        <v>2681</v>
      </c>
      <c r="E125" s="46" t="s">
        <v>1487</v>
      </c>
      <c r="F125" s="46" t="s">
        <v>341</v>
      </c>
      <c r="G125" s="76" t="s">
        <v>106</v>
      </c>
      <c r="H125" s="76" t="s">
        <v>106</v>
      </c>
      <c r="I125" s="75" t="s">
        <v>106</v>
      </c>
      <c r="J125" s="76"/>
      <c r="K125" s="75" t="s">
        <v>48</v>
      </c>
      <c r="L125" s="75" t="s">
        <v>44</v>
      </c>
      <c r="M125" s="76" t="s">
        <v>307</v>
      </c>
      <c r="N125" s="76"/>
      <c r="O125" s="75" t="s">
        <v>73</v>
      </c>
      <c r="P125" s="75" t="s">
        <v>103</v>
      </c>
      <c r="Q125" s="75" t="s">
        <v>513</v>
      </c>
      <c r="R125" s="76"/>
      <c r="S125" s="47" t="s">
        <v>3025</v>
      </c>
      <c r="T125" s="75" t="s">
        <v>3026</v>
      </c>
      <c r="U125" s="46" t="s">
        <v>27</v>
      </c>
    </row>
    <row r="126" spans="1:21" ht="12.75">
      <c r="A126" s="45" t="s">
        <v>3027</v>
      </c>
      <c r="B126" s="75" t="s">
        <v>3028</v>
      </c>
      <c r="C126" s="75" t="s">
        <v>2667</v>
      </c>
      <c r="D126" s="75" t="s">
        <v>2668</v>
      </c>
      <c r="E126" s="46" t="s">
        <v>16</v>
      </c>
      <c r="F126" s="46" t="s">
        <v>3029</v>
      </c>
      <c r="G126" s="76" t="s">
        <v>73</v>
      </c>
      <c r="H126" s="75" t="s">
        <v>73</v>
      </c>
      <c r="I126" s="75" t="s">
        <v>115</v>
      </c>
      <c r="J126" s="76"/>
      <c r="K126" s="75" t="s">
        <v>42</v>
      </c>
      <c r="L126" s="75" t="s">
        <v>399</v>
      </c>
      <c r="M126" s="75" t="s">
        <v>537</v>
      </c>
      <c r="N126" s="76"/>
      <c r="O126" s="75" t="s">
        <v>83</v>
      </c>
      <c r="P126" s="75" t="s">
        <v>513</v>
      </c>
      <c r="Q126" s="75" t="s">
        <v>2669</v>
      </c>
      <c r="R126" s="76"/>
      <c r="S126" s="47" t="s">
        <v>1805</v>
      </c>
      <c r="T126" s="75" t="s">
        <v>3030</v>
      </c>
      <c r="U126" s="46" t="s">
        <v>27</v>
      </c>
    </row>
    <row r="127" spans="1:21" ht="12.75">
      <c r="A127" s="45" t="s">
        <v>3031</v>
      </c>
      <c r="B127" s="75" t="s">
        <v>3032</v>
      </c>
      <c r="C127" s="75" t="s">
        <v>3033</v>
      </c>
      <c r="D127" s="75" t="s">
        <v>3034</v>
      </c>
      <c r="E127" s="46" t="s">
        <v>16</v>
      </c>
      <c r="F127" s="46" t="s">
        <v>3035</v>
      </c>
      <c r="G127" s="76" t="s">
        <v>83</v>
      </c>
      <c r="H127" s="75" t="s">
        <v>83</v>
      </c>
      <c r="I127" s="76" t="s">
        <v>106</v>
      </c>
      <c r="J127" s="76"/>
      <c r="K127" s="75" t="s">
        <v>43</v>
      </c>
      <c r="L127" s="75" t="s">
        <v>48</v>
      </c>
      <c r="M127" s="75" t="s">
        <v>44</v>
      </c>
      <c r="N127" s="76"/>
      <c r="O127" s="75" t="s">
        <v>83</v>
      </c>
      <c r="P127" s="75" t="s">
        <v>115</v>
      </c>
      <c r="Q127" s="76" t="s">
        <v>106</v>
      </c>
      <c r="R127" s="76"/>
      <c r="S127" s="47" t="s">
        <v>1790</v>
      </c>
      <c r="T127" s="75" t="s">
        <v>3036</v>
      </c>
      <c r="U127" s="46" t="s">
        <v>27</v>
      </c>
    </row>
    <row r="128" spans="1:21" ht="12.75">
      <c r="A128" s="45" t="s">
        <v>3037</v>
      </c>
      <c r="B128" s="75" t="s">
        <v>3038</v>
      </c>
      <c r="C128" s="75" t="s">
        <v>137</v>
      </c>
      <c r="D128" s="75" t="s">
        <v>2423</v>
      </c>
      <c r="E128" s="46" t="s">
        <v>16</v>
      </c>
      <c r="F128" s="46" t="s">
        <v>108</v>
      </c>
      <c r="G128" s="75" t="s">
        <v>390</v>
      </c>
      <c r="H128" s="76" t="s">
        <v>115</v>
      </c>
      <c r="I128" s="76"/>
      <c r="J128" s="76"/>
      <c r="K128" s="75" t="s">
        <v>42</v>
      </c>
      <c r="L128" s="76" t="s">
        <v>99</v>
      </c>
      <c r="M128" s="76" t="s">
        <v>99</v>
      </c>
      <c r="N128" s="76"/>
      <c r="O128" s="75" t="s">
        <v>63</v>
      </c>
      <c r="P128" s="76" t="s">
        <v>77</v>
      </c>
      <c r="Q128" s="76"/>
      <c r="R128" s="76"/>
      <c r="S128" s="47" t="s">
        <v>3039</v>
      </c>
      <c r="T128" s="75" t="s">
        <v>3040</v>
      </c>
      <c r="U128" s="46" t="s">
        <v>27</v>
      </c>
    </row>
    <row r="129" spans="1:21" ht="12.75">
      <c r="A129" s="45" t="s">
        <v>3041</v>
      </c>
      <c r="B129" s="75" t="s">
        <v>3042</v>
      </c>
      <c r="C129" s="75" t="s">
        <v>3043</v>
      </c>
      <c r="D129" s="75" t="s">
        <v>3044</v>
      </c>
      <c r="E129" s="46" t="s">
        <v>16</v>
      </c>
      <c r="F129" s="46" t="s">
        <v>1532</v>
      </c>
      <c r="G129" s="75" t="s">
        <v>74</v>
      </c>
      <c r="H129" s="76" t="s">
        <v>65</v>
      </c>
      <c r="I129" s="75" t="s">
        <v>65</v>
      </c>
      <c r="J129" s="76"/>
      <c r="K129" s="75" t="s">
        <v>43</v>
      </c>
      <c r="L129" s="76" t="s">
        <v>48</v>
      </c>
      <c r="M129" s="76" t="s">
        <v>48</v>
      </c>
      <c r="N129" s="76"/>
      <c r="O129" s="75" t="s">
        <v>74</v>
      </c>
      <c r="P129" s="75" t="s">
        <v>65</v>
      </c>
      <c r="Q129" s="75" t="s">
        <v>63</v>
      </c>
      <c r="R129" s="76"/>
      <c r="S129" s="47" t="s">
        <v>3045</v>
      </c>
      <c r="T129" s="75" t="s">
        <v>3046</v>
      </c>
      <c r="U129" s="46" t="s">
        <v>27</v>
      </c>
    </row>
    <row r="130" spans="1:21" ht="12.75">
      <c r="A130" s="45" t="s">
        <v>3047</v>
      </c>
      <c r="B130" s="75" t="s">
        <v>3048</v>
      </c>
      <c r="C130" s="75" t="s">
        <v>1139</v>
      </c>
      <c r="D130" s="75" t="s">
        <v>2459</v>
      </c>
      <c r="E130" s="46" t="s">
        <v>16</v>
      </c>
      <c r="F130" s="46" t="s">
        <v>1492</v>
      </c>
      <c r="G130" s="75" t="s">
        <v>88</v>
      </c>
      <c r="H130" s="75" t="s">
        <v>113</v>
      </c>
      <c r="I130" s="75" t="s">
        <v>68</v>
      </c>
      <c r="J130" s="76"/>
      <c r="K130" s="75" t="s">
        <v>59</v>
      </c>
      <c r="L130" s="75" t="s">
        <v>348</v>
      </c>
      <c r="M130" s="75" t="s">
        <v>301</v>
      </c>
      <c r="N130" s="76"/>
      <c r="O130" s="75" t="s">
        <v>57</v>
      </c>
      <c r="P130" s="75" t="s">
        <v>68</v>
      </c>
      <c r="Q130" s="76" t="s">
        <v>80</v>
      </c>
      <c r="R130" s="76"/>
      <c r="S130" s="47" t="s">
        <v>3049</v>
      </c>
      <c r="T130" s="75" t="s">
        <v>3050</v>
      </c>
      <c r="U130" s="46" t="s">
        <v>27</v>
      </c>
    </row>
    <row r="131" spans="1:21" ht="12.75">
      <c r="A131" s="45" t="s">
        <v>2675</v>
      </c>
      <c r="B131" s="75" t="s">
        <v>2676</v>
      </c>
      <c r="C131" s="75" t="s">
        <v>1139</v>
      </c>
      <c r="D131" s="75" t="s">
        <v>2459</v>
      </c>
      <c r="E131" s="46" t="s">
        <v>3051</v>
      </c>
      <c r="F131" s="46" t="s">
        <v>2174</v>
      </c>
      <c r="G131" s="76" t="s">
        <v>57</v>
      </c>
      <c r="H131" s="76" t="s">
        <v>57</v>
      </c>
      <c r="I131" s="76" t="s">
        <v>57</v>
      </c>
      <c r="J131" s="76"/>
      <c r="K131" s="76" t="s">
        <v>43</v>
      </c>
      <c r="L131" s="76"/>
      <c r="M131" s="76"/>
      <c r="N131" s="76"/>
      <c r="O131" s="75" t="s">
        <v>115</v>
      </c>
      <c r="P131" s="75" t="s">
        <v>106</v>
      </c>
      <c r="Q131" s="76" t="s">
        <v>2669</v>
      </c>
      <c r="R131" s="76"/>
      <c r="S131" s="47" t="s">
        <v>1635</v>
      </c>
      <c r="T131" s="75" t="s">
        <v>1636</v>
      </c>
      <c r="U131" s="46" t="s">
        <v>2758</v>
      </c>
    </row>
    <row r="132" spans="1:21" ht="12.75">
      <c r="A132" s="45" t="s">
        <v>2672</v>
      </c>
      <c r="B132" s="75" t="s">
        <v>2673</v>
      </c>
      <c r="C132" s="75" t="s">
        <v>1139</v>
      </c>
      <c r="D132" s="75" t="s">
        <v>2459</v>
      </c>
      <c r="E132" s="46" t="s">
        <v>16</v>
      </c>
      <c r="F132" s="46" t="s">
        <v>47</v>
      </c>
      <c r="G132" s="76" t="s">
        <v>103</v>
      </c>
      <c r="H132" s="76" t="s">
        <v>106</v>
      </c>
      <c r="I132" s="76" t="s">
        <v>106</v>
      </c>
      <c r="J132" s="76"/>
      <c r="K132" s="76" t="s">
        <v>399</v>
      </c>
      <c r="L132" s="76" t="s">
        <v>399</v>
      </c>
      <c r="M132" s="76" t="s">
        <v>537</v>
      </c>
      <c r="N132" s="76"/>
      <c r="O132" s="76" t="s">
        <v>551</v>
      </c>
      <c r="P132" s="76" t="s">
        <v>737</v>
      </c>
      <c r="Q132" s="76" t="s">
        <v>737</v>
      </c>
      <c r="R132" s="76"/>
      <c r="S132" s="47" t="s">
        <v>1635</v>
      </c>
      <c r="T132" s="75" t="s">
        <v>1636</v>
      </c>
      <c r="U132" s="46" t="s">
        <v>27</v>
      </c>
    </row>
    <row r="133" spans="1:21" ht="12.75">
      <c r="A133" s="45" t="s">
        <v>3052</v>
      </c>
      <c r="B133" s="75" t="s">
        <v>1850</v>
      </c>
      <c r="C133" s="75" t="s">
        <v>3053</v>
      </c>
      <c r="D133" s="75" t="s">
        <v>3054</v>
      </c>
      <c r="E133" s="46" t="s">
        <v>16</v>
      </c>
      <c r="F133" s="46" t="s">
        <v>2097</v>
      </c>
      <c r="G133" s="75" t="s">
        <v>65</v>
      </c>
      <c r="H133" s="76" t="s">
        <v>63</v>
      </c>
      <c r="I133" s="76" t="s">
        <v>72</v>
      </c>
      <c r="J133" s="76"/>
      <c r="K133" s="75" t="s">
        <v>254</v>
      </c>
      <c r="L133" s="75" t="s">
        <v>130</v>
      </c>
      <c r="M133" s="75" t="s">
        <v>189</v>
      </c>
      <c r="N133" s="76"/>
      <c r="O133" s="75" t="s">
        <v>63</v>
      </c>
      <c r="P133" s="75" t="s">
        <v>80</v>
      </c>
      <c r="Q133" s="75" t="s">
        <v>1925</v>
      </c>
      <c r="R133" s="76"/>
      <c r="S133" s="47" t="s">
        <v>1988</v>
      </c>
      <c r="T133" s="75" t="s">
        <v>3055</v>
      </c>
      <c r="U133" s="46" t="s">
        <v>27</v>
      </c>
    </row>
    <row r="134" spans="1:21" ht="12.75">
      <c r="A134" s="45" t="s">
        <v>3056</v>
      </c>
      <c r="B134" s="75" t="s">
        <v>3057</v>
      </c>
      <c r="C134" s="75" t="s">
        <v>1121</v>
      </c>
      <c r="D134" s="75" t="s">
        <v>2997</v>
      </c>
      <c r="E134" s="46" t="s">
        <v>3191</v>
      </c>
      <c r="F134" s="46" t="s">
        <v>3190</v>
      </c>
      <c r="G134" s="76" t="s">
        <v>65</v>
      </c>
      <c r="H134" s="75" t="s">
        <v>65</v>
      </c>
      <c r="I134" s="76" t="s">
        <v>72</v>
      </c>
      <c r="J134" s="76"/>
      <c r="K134" s="75" t="s">
        <v>33</v>
      </c>
      <c r="L134" s="75" t="s">
        <v>410</v>
      </c>
      <c r="M134" s="75" t="s">
        <v>59</v>
      </c>
      <c r="N134" s="76"/>
      <c r="O134" s="75" t="s">
        <v>74</v>
      </c>
      <c r="P134" s="75" t="s">
        <v>79</v>
      </c>
      <c r="Q134" s="75" t="s">
        <v>72</v>
      </c>
      <c r="R134" s="76"/>
      <c r="S134" s="47" t="s">
        <v>1720</v>
      </c>
      <c r="T134" s="75" t="s">
        <v>3058</v>
      </c>
      <c r="U134" s="46" t="s">
        <v>27</v>
      </c>
    </row>
    <row r="135" spans="1:21" ht="12.75">
      <c r="A135" s="45" t="s">
        <v>495</v>
      </c>
      <c r="B135" s="75" t="s">
        <v>496</v>
      </c>
      <c r="C135" s="75" t="s">
        <v>3053</v>
      </c>
      <c r="D135" s="75" t="s">
        <v>3054</v>
      </c>
      <c r="E135" s="46" t="s">
        <v>23</v>
      </c>
      <c r="F135" s="46" t="s">
        <v>1496</v>
      </c>
      <c r="G135" s="75" t="s">
        <v>283</v>
      </c>
      <c r="H135" s="76"/>
      <c r="I135" s="76"/>
      <c r="J135" s="76"/>
      <c r="K135" s="75" t="s">
        <v>36</v>
      </c>
      <c r="L135" s="76"/>
      <c r="M135" s="76"/>
      <c r="N135" s="76"/>
      <c r="O135" s="75" t="s">
        <v>44</v>
      </c>
      <c r="P135" s="76"/>
      <c r="Q135" s="76"/>
      <c r="R135" s="76"/>
      <c r="S135" s="47" t="s">
        <v>3059</v>
      </c>
      <c r="T135" s="75" t="s">
        <v>3060</v>
      </c>
      <c r="U135" s="46" t="s">
        <v>27</v>
      </c>
    </row>
    <row r="136" spans="1:21" ht="12.75">
      <c r="A136" s="48" t="s">
        <v>2457</v>
      </c>
      <c r="B136" s="77" t="s">
        <v>2458</v>
      </c>
      <c r="C136" s="77" t="s">
        <v>1139</v>
      </c>
      <c r="D136" s="77" t="s">
        <v>2459</v>
      </c>
      <c r="E136" s="49" t="s">
        <v>23</v>
      </c>
      <c r="F136" s="49" t="s">
        <v>1529</v>
      </c>
      <c r="G136" s="77" t="s">
        <v>35</v>
      </c>
      <c r="H136" s="78" t="s">
        <v>36</v>
      </c>
      <c r="I136" s="78"/>
      <c r="J136" s="78"/>
      <c r="K136" s="77" t="s">
        <v>58</v>
      </c>
      <c r="L136" s="77" t="s">
        <v>130</v>
      </c>
      <c r="M136" s="78"/>
      <c r="N136" s="78"/>
      <c r="O136" s="77" t="s">
        <v>301</v>
      </c>
      <c r="P136" s="77" t="s">
        <v>43</v>
      </c>
      <c r="Q136" s="78"/>
      <c r="R136" s="78"/>
      <c r="S136" s="50" t="s">
        <v>1858</v>
      </c>
      <c r="T136" s="77" t="s">
        <v>3061</v>
      </c>
      <c r="U136" s="49" t="s">
        <v>2460</v>
      </c>
    </row>
    <row r="137" spans="1:21" ht="12.75">
      <c r="A137" s="33"/>
      <c r="B137" s="29"/>
      <c r="C137" s="29"/>
      <c r="D137" s="29"/>
      <c r="E137" s="30"/>
      <c r="F137" s="30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3"/>
      <c r="T137" s="29"/>
      <c r="U137" s="30"/>
    </row>
    <row r="138" spans="1:21" ht="15">
      <c r="A138" s="117" t="s">
        <v>138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30"/>
    </row>
    <row r="139" spans="1:21" ht="12.75">
      <c r="A139" s="42" t="s">
        <v>3062</v>
      </c>
      <c r="B139" s="73" t="s">
        <v>3063</v>
      </c>
      <c r="C139" s="73" t="s">
        <v>2899</v>
      </c>
      <c r="D139" s="73" t="s">
        <v>2900</v>
      </c>
      <c r="E139" s="43" t="s">
        <v>16</v>
      </c>
      <c r="F139" s="43" t="s">
        <v>1492</v>
      </c>
      <c r="G139" s="73" t="s">
        <v>2622</v>
      </c>
      <c r="H139" s="74" t="s">
        <v>2586</v>
      </c>
      <c r="I139" s="74" t="s">
        <v>2586</v>
      </c>
      <c r="J139" s="74"/>
      <c r="K139" s="73" t="s">
        <v>49</v>
      </c>
      <c r="L139" s="73" t="s">
        <v>307</v>
      </c>
      <c r="M139" s="73" t="s">
        <v>370</v>
      </c>
      <c r="N139" s="74"/>
      <c r="O139" s="73" t="s">
        <v>485</v>
      </c>
      <c r="P139" s="73" t="s">
        <v>1804</v>
      </c>
      <c r="Q139" s="73" t="s">
        <v>2622</v>
      </c>
      <c r="R139" s="74"/>
      <c r="S139" s="44" t="s">
        <v>3064</v>
      </c>
      <c r="T139" s="73" t="s">
        <v>3065</v>
      </c>
      <c r="U139" s="43" t="s">
        <v>2238</v>
      </c>
    </row>
    <row r="140" spans="1:21" ht="12.75">
      <c r="A140" s="45" t="s">
        <v>2709</v>
      </c>
      <c r="B140" s="75" t="s">
        <v>2710</v>
      </c>
      <c r="C140" s="75" t="s">
        <v>2711</v>
      </c>
      <c r="D140" s="75" t="s">
        <v>2712</v>
      </c>
      <c r="E140" s="46" t="s">
        <v>16</v>
      </c>
      <c r="F140" s="46" t="s">
        <v>364</v>
      </c>
      <c r="G140" s="76" t="s">
        <v>513</v>
      </c>
      <c r="H140" s="76" t="s">
        <v>513</v>
      </c>
      <c r="I140" s="75" t="s">
        <v>513</v>
      </c>
      <c r="J140" s="76"/>
      <c r="K140" s="75" t="s">
        <v>317</v>
      </c>
      <c r="L140" s="75" t="s">
        <v>57</v>
      </c>
      <c r="M140" s="75" t="s">
        <v>74</v>
      </c>
      <c r="N140" s="76"/>
      <c r="O140" s="75" t="s">
        <v>1367</v>
      </c>
      <c r="P140" s="75" t="s">
        <v>3066</v>
      </c>
      <c r="Q140" s="75" t="s">
        <v>2540</v>
      </c>
      <c r="R140" s="76"/>
      <c r="S140" s="47" t="s">
        <v>3067</v>
      </c>
      <c r="T140" s="75" t="s">
        <v>3068</v>
      </c>
      <c r="U140" s="46" t="s">
        <v>3069</v>
      </c>
    </row>
    <row r="141" spans="1:21" ht="12.75">
      <c r="A141" s="45" t="s">
        <v>3070</v>
      </c>
      <c r="B141" s="75" t="s">
        <v>3071</v>
      </c>
      <c r="C141" s="75" t="s">
        <v>139</v>
      </c>
      <c r="D141" s="75" t="s">
        <v>3072</v>
      </c>
      <c r="E141" s="46" t="s">
        <v>23</v>
      </c>
      <c r="F141" s="46" t="s">
        <v>3195</v>
      </c>
      <c r="G141" s="76" t="s">
        <v>106</v>
      </c>
      <c r="H141" s="75" t="s">
        <v>485</v>
      </c>
      <c r="I141" s="75" t="s">
        <v>550</v>
      </c>
      <c r="J141" s="76"/>
      <c r="K141" s="75" t="s">
        <v>49</v>
      </c>
      <c r="L141" s="75" t="s">
        <v>307</v>
      </c>
      <c r="M141" s="75" t="s">
        <v>57</v>
      </c>
      <c r="N141" s="76"/>
      <c r="O141" s="75" t="s">
        <v>1367</v>
      </c>
      <c r="P141" s="76" t="s">
        <v>1804</v>
      </c>
      <c r="Q141" s="76" t="s">
        <v>2540</v>
      </c>
      <c r="R141" s="76"/>
      <c r="S141" s="47" t="s">
        <v>3067</v>
      </c>
      <c r="T141" s="75" t="s">
        <v>3073</v>
      </c>
      <c r="U141" s="46" t="s">
        <v>3074</v>
      </c>
    </row>
    <row r="142" spans="1:21" ht="12.75">
      <c r="A142" s="45" t="s">
        <v>3075</v>
      </c>
      <c r="B142" s="75" t="s">
        <v>3076</v>
      </c>
      <c r="C142" s="75" t="s">
        <v>3077</v>
      </c>
      <c r="D142" s="75" t="s">
        <v>3078</v>
      </c>
      <c r="E142" s="46" t="s">
        <v>16</v>
      </c>
      <c r="F142" s="46" t="s">
        <v>1492</v>
      </c>
      <c r="G142" s="75" t="s">
        <v>485</v>
      </c>
      <c r="H142" s="75" t="s">
        <v>1367</v>
      </c>
      <c r="I142" s="76" t="s">
        <v>3079</v>
      </c>
      <c r="J142" s="76"/>
      <c r="K142" s="75" t="s">
        <v>44</v>
      </c>
      <c r="L142" s="76" t="s">
        <v>56</v>
      </c>
      <c r="M142" s="76" t="s">
        <v>56</v>
      </c>
      <c r="N142" s="76"/>
      <c r="O142" s="75" t="s">
        <v>106</v>
      </c>
      <c r="P142" s="75" t="s">
        <v>485</v>
      </c>
      <c r="Q142" s="76" t="s">
        <v>1367</v>
      </c>
      <c r="R142" s="76"/>
      <c r="S142" s="47" t="s">
        <v>3080</v>
      </c>
      <c r="T142" s="75" t="s">
        <v>3081</v>
      </c>
      <c r="U142" s="46" t="s">
        <v>3082</v>
      </c>
    </row>
    <row r="143" spans="1:21" ht="12.75">
      <c r="A143" s="45" t="s">
        <v>3083</v>
      </c>
      <c r="B143" s="75" t="s">
        <v>3084</v>
      </c>
      <c r="C143" s="75" t="s">
        <v>3085</v>
      </c>
      <c r="D143" s="75" t="s">
        <v>3086</v>
      </c>
      <c r="E143" s="46" t="s">
        <v>2774</v>
      </c>
      <c r="F143" s="46" t="s">
        <v>3087</v>
      </c>
      <c r="G143" s="75" t="s">
        <v>106</v>
      </c>
      <c r="H143" s="75" t="s">
        <v>737</v>
      </c>
      <c r="I143" s="75" t="s">
        <v>550</v>
      </c>
      <c r="J143" s="76"/>
      <c r="K143" s="75" t="s">
        <v>42</v>
      </c>
      <c r="L143" s="75" t="s">
        <v>43</v>
      </c>
      <c r="M143" s="75" t="s">
        <v>48</v>
      </c>
      <c r="N143" s="76"/>
      <c r="O143" s="75" t="s">
        <v>115</v>
      </c>
      <c r="P143" s="76" t="s">
        <v>551</v>
      </c>
      <c r="Q143" s="75" t="s">
        <v>551</v>
      </c>
      <c r="R143" s="76"/>
      <c r="S143" s="47" t="s">
        <v>3088</v>
      </c>
      <c r="T143" s="75" t="s">
        <v>3089</v>
      </c>
      <c r="U143" s="46" t="s">
        <v>3090</v>
      </c>
    </row>
    <row r="144" spans="1:21" ht="12.75">
      <c r="A144" s="45" t="s">
        <v>2715</v>
      </c>
      <c r="B144" s="75" t="s">
        <v>2716</v>
      </c>
      <c r="C144" s="75" t="s">
        <v>2717</v>
      </c>
      <c r="D144" s="75" t="s">
        <v>2718</v>
      </c>
      <c r="E144" s="46" t="s">
        <v>16</v>
      </c>
      <c r="F144" s="46" t="s">
        <v>374</v>
      </c>
      <c r="G144" s="75" t="s">
        <v>2540</v>
      </c>
      <c r="H144" s="75" t="s">
        <v>2541</v>
      </c>
      <c r="I144" s="76" t="s">
        <v>2542</v>
      </c>
      <c r="J144" s="76"/>
      <c r="K144" s="75" t="s">
        <v>48</v>
      </c>
      <c r="L144" s="76" t="s">
        <v>284</v>
      </c>
      <c r="M144" s="76"/>
      <c r="N144" s="76"/>
      <c r="O144" s="75" t="s">
        <v>2540</v>
      </c>
      <c r="P144" s="75" t="s">
        <v>2541</v>
      </c>
      <c r="Q144" s="75" t="s">
        <v>2719</v>
      </c>
      <c r="R144" s="76"/>
      <c r="S144" s="47" t="s">
        <v>3091</v>
      </c>
      <c r="T144" s="75" t="s">
        <v>3092</v>
      </c>
      <c r="U144" s="46" t="s">
        <v>3196</v>
      </c>
    </row>
    <row r="145" spans="1:21" ht="12.75">
      <c r="A145" s="45" t="s">
        <v>3070</v>
      </c>
      <c r="B145" s="75" t="s">
        <v>3093</v>
      </c>
      <c r="C145" s="75" t="s">
        <v>139</v>
      </c>
      <c r="D145" s="75" t="s">
        <v>3072</v>
      </c>
      <c r="E145" s="46" t="s">
        <v>23</v>
      </c>
      <c r="F145" s="46" t="s">
        <v>1529</v>
      </c>
      <c r="G145" s="75" t="s">
        <v>550</v>
      </c>
      <c r="H145" s="76"/>
      <c r="I145" s="76"/>
      <c r="J145" s="76"/>
      <c r="K145" s="75" t="s">
        <v>57</v>
      </c>
      <c r="L145" s="76"/>
      <c r="M145" s="76"/>
      <c r="N145" s="76"/>
      <c r="O145" s="75" t="s">
        <v>1367</v>
      </c>
      <c r="P145" s="76"/>
      <c r="Q145" s="76"/>
      <c r="R145" s="76"/>
      <c r="S145" s="47" t="s">
        <v>3067</v>
      </c>
      <c r="T145" s="75" t="s">
        <v>3073</v>
      </c>
      <c r="U145" s="46" t="s">
        <v>3094</v>
      </c>
    </row>
    <row r="146" spans="1:21" ht="12.75">
      <c r="A146" s="45" t="s">
        <v>3095</v>
      </c>
      <c r="B146" s="75" t="s">
        <v>3096</v>
      </c>
      <c r="C146" s="75" t="s">
        <v>3097</v>
      </c>
      <c r="D146" s="75" t="s">
        <v>3098</v>
      </c>
      <c r="E146" s="46" t="s">
        <v>16</v>
      </c>
      <c r="F146" s="46" t="s">
        <v>329</v>
      </c>
      <c r="G146" s="75" t="s">
        <v>550</v>
      </c>
      <c r="H146" s="75" t="s">
        <v>2622</v>
      </c>
      <c r="I146" s="75" t="s">
        <v>2707</v>
      </c>
      <c r="J146" s="76"/>
      <c r="K146" s="75" t="s">
        <v>49</v>
      </c>
      <c r="L146" s="75" t="s">
        <v>307</v>
      </c>
      <c r="M146" s="76" t="s">
        <v>88</v>
      </c>
      <c r="N146" s="76"/>
      <c r="O146" s="75" t="s">
        <v>106</v>
      </c>
      <c r="P146" s="76" t="s">
        <v>551</v>
      </c>
      <c r="Q146" s="75" t="s">
        <v>551</v>
      </c>
      <c r="R146" s="76"/>
      <c r="S146" s="47" t="s">
        <v>3099</v>
      </c>
      <c r="T146" s="75" t="s">
        <v>3100</v>
      </c>
      <c r="U146" s="46" t="s">
        <v>27</v>
      </c>
    </row>
    <row r="147" spans="1:21" ht="12.75">
      <c r="A147" s="45" t="s">
        <v>1518</v>
      </c>
      <c r="B147" s="75" t="s">
        <v>2728</v>
      </c>
      <c r="C147" s="75" t="s">
        <v>2729</v>
      </c>
      <c r="D147" s="75" t="s">
        <v>2730</v>
      </c>
      <c r="E147" s="46" t="s">
        <v>16</v>
      </c>
      <c r="F147" s="46" t="s">
        <v>3557</v>
      </c>
      <c r="G147" s="76" t="s">
        <v>106</v>
      </c>
      <c r="H147" s="75" t="s">
        <v>106</v>
      </c>
      <c r="I147" s="76" t="s">
        <v>737</v>
      </c>
      <c r="J147" s="76"/>
      <c r="K147" s="75" t="s">
        <v>43</v>
      </c>
      <c r="L147" s="75" t="s">
        <v>48</v>
      </c>
      <c r="M147" s="76" t="s">
        <v>342</v>
      </c>
      <c r="N147" s="76"/>
      <c r="O147" s="75" t="s">
        <v>485</v>
      </c>
      <c r="P147" s="75" t="s">
        <v>2622</v>
      </c>
      <c r="Q147" s="76" t="s">
        <v>2707</v>
      </c>
      <c r="R147" s="76"/>
      <c r="S147" s="47" t="s">
        <v>3101</v>
      </c>
      <c r="T147" s="75" t="s">
        <v>3102</v>
      </c>
      <c r="U147" s="46" t="s">
        <v>27</v>
      </c>
    </row>
    <row r="148" spans="1:21" ht="12.75">
      <c r="A148" s="45" t="s">
        <v>3103</v>
      </c>
      <c r="B148" s="75" t="s">
        <v>3104</v>
      </c>
      <c r="C148" s="75" t="s">
        <v>3105</v>
      </c>
      <c r="D148" s="75" t="s">
        <v>3106</v>
      </c>
      <c r="E148" s="46" t="s">
        <v>16</v>
      </c>
      <c r="F148" s="46" t="s">
        <v>565</v>
      </c>
      <c r="G148" s="75" t="s">
        <v>1367</v>
      </c>
      <c r="H148" s="76" t="s">
        <v>1804</v>
      </c>
      <c r="I148" s="76" t="s">
        <v>1804</v>
      </c>
      <c r="J148" s="76"/>
      <c r="K148" s="75" t="s">
        <v>43</v>
      </c>
      <c r="L148" s="75" t="s">
        <v>48</v>
      </c>
      <c r="M148" s="76" t="s">
        <v>283</v>
      </c>
      <c r="N148" s="76"/>
      <c r="O148" s="75" t="s">
        <v>106</v>
      </c>
      <c r="P148" s="76" t="s">
        <v>549</v>
      </c>
      <c r="Q148" s="76" t="s">
        <v>549</v>
      </c>
      <c r="R148" s="76"/>
      <c r="S148" s="47" t="s">
        <v>3107</v>
      </c>
      <c r="T148" s="75" t="s">
        <v>3108</v>
      </c>
      <c r="U148" s="46" t="s">
        <v>3109</v>
      </c>
    </row>
    <row r="149" spans="1:21" ht="12.75">
      <c r="A149" s="45" t="s">
        <v>3110</v>
      </c>
      <c r="B149" s="75" t="s">
        <v>3111</v>
      </c>
      <c r="C149" s="75" t="s">
        <v>3112</v>
      </c>
      <c r="D149" s="75" t="s">
        <v>3113</v>
      </c>
      <c r="E149" s="46" t="s">
        <v>16</v>
      </c>
      <c r="F149" s="46" t="s">
        <v>3193</v>
      </c>
      <c r="G149" s="75" t="s">
        <v>115</v>
      </c>
      <c r="H149" s="76" t="s">
        <v>485</v>
      </c>
      <c r="I149" s="75" t="s">
        <v>485</v>
      </c>
      <c r="J149" s="76"/>
      <c r="K149" s="75" t="s">
        <v>121</v>
      </c>
      <c r="L149" s="75" t="s">
        <v>283</v>
      </c>
      <c r="M149" s="76" t="s">
        <v>44</v>
      </c>
      <c r="N149" s="76"/>
      <c r="O149" s="75" t="s">
        <v>77</v>
      </c>
      <c r="P149" s="75" t="s">
        <v>83</v>
      </c>
      <c r="Q149" s="76" t="s">
        <v>106</v>
      </c>
      <c r="R149" s="76"/>
      <c r="S149" s="47" t="s">
        <v>1896</v>
      </c>
      <c r="T149" s="75" t="s">
        <v>3114</v>
      </c>
      <c r="U149" s="46" t="s">
        <v>27</v>
      </c>
    </row>
    <row r="150" spans="1:21" ht="12.75">
      <c r="A150" s="45" t="s">
        <v>3115</v>
      </c>
      <c r="B150" s="75" t="s">
        <v>3116</v>
      </c>
      <c r="C150" s="75" t="s">
        <v>2711</v>
      </c>
      <c r="D150" s="75" t="s">
        <v>2712</v>
      </c>
      <c r="E150" s="46" t="s">
        <v>16</v>
      </c>
      <c r="F150" s="46" t="s">
        <v>1492</v>
      </c>
      <c r="G150" s="75" t="s">
        <v>77</v>
      </c>
      <c r="H150" s="75" t="s">
        <v>1925</v>
      </c>
      <c r="I150" s="75" t="s">
        <v>1745</v>
      </c>
      <c r="J150" s="76"/>
      <c r="K150" s="76" t="s">
        <v>43</v>
      </c>
      <c r="L150" s="75" t="s">
        <v>48</v>
      </c>
      <c r="M150" s="76" t="s">
        <v>44</v>
      </c>
      <c r="N150" s="76"/>
      <c r="O150" s="75" t="s">
        <v>83</v>
      </c>
      <c r="P150" s="75" t="s">
        <v>106</v>
      </c>
      <c r="Q150" s="76" t="s">
        <v>2550</v>
      </c>
      <c r="R150" s="76"/>
      <c r="S150" s="47" t="s">
        <v>3117</v>
      </c>
      <c r="T150" s="75" t="s">
        <v>3118</v>
      </c>
      <c r="U150" s="46" t="s">
        <v>27</v>
      </c>
    </row>
    <row r="151" spans="1:21" ht="12.75">
      <c r="A151" s="45" t="s">
        <v>3119</v>
      </c>
      <c r="B151" s="75" t="s">
        <v>3120</v>
      </c>
      <c r="C151" s="75" t="s">
        <v>1401</v>
      </c>
      <c r="D151" s="75" t="s">
        <v>2751</v>
      </c>
      <c r="E151" s="46" t="s">
        <v>16</v>
      </c>
      <c r="F151" s="46" t="s">
        <v>3121</v>
      </c>
      <c r="G151" s="76" t="s">
        <v>63</v>
      </c>
      <c r="H151" s="75" t="s">
        <v>63</v>
      </c>
      <c r="I151" s="75" t="s">
        <v>73</v>
      </c>
      <c r="J151" s="76"/>
      <c r="K151" s="75" t="s">
        <v>35</v>
      </c>
      <c r="L151" s="75" t="s">
        <v>42</v>
      </c>
      <c r="M151" s="75" t="s">
        <v>121</v>
      </c>
      <c r="N151" s="76"/>
      <c r="O151" s="75" t="s">
        <v>106</v>
      </c>
      <c r="P151" s="76" t="s">
        <v>550</v>
      </c>
      <c r="Q151" s="76" t="s">
        <v>550</v>
      </c>
      <c r="R151" s="76"/>
      <c r="S151" s="47" t="s">
        <v>3122</v>
      </c>
      <c r="T151" s="75" t="s">
        <v>3123</v>
      </c>
      <c r="U151" s="46" t="s">
        <v>27</v>
      </c>
    </row>
    <row r="152" spans="1:21" ht="12.75">
      <c r="A152" s="45" t="s">
        <v>3070</v>
      </c>
      <c r="B152" s="75" t="s">
        <v>3093</v>
      </c>
      <c r="C152" s="75" t="s">
        <v>139</v>
      </c>
      <c r="D152" s="75" t="s">
        <v>3072</v>
      </c>
      <c r="E152" s="46" t="s">
        <v>23</v>
      </c>
      <c r="F152" s="46" t="s">
        <v>1529</v>
      </c>
      <c r="G152" s="76" t="s">
        <v>106</v>
      </c>
      <c r="H152" s="76"/>
      <c r="I152" s="75"/>
      <c r="J152" s="76"/>
      <c r="K152" s="75" t="s">
        <v>49</v>
      </c>
      <c r="L152" s="75" t="s">
        <v>307</v>
      </c>
      <c r="M152" s="75" t="s">
        <v>57</v>
      </c>
      <c r="N152" s="76"/>
      <c r="O152" s="75" t="s">
        <v>1367</v>
      </c>
      <c r="P152" s="76" t="s">
        <v>1804</v>
      </c>
      <c r="Q152" s="76" t="s">
        <v>2540</v>
      </c>
      <c r="R152" s="76"/>
      <c r="S152" s="47" t="s">
        <v>3124</v>
      </c>
      <c r="T152" s="75" t="s">
        <v>3125</v>
      </c>
      <c r="U152" s="46" t="s">
        <v>3074</v>
      </c>
    </row>
    <row r="153" spans="1:21" ht="12.75">
      <c r="A153" s="45" t="s">
        <v>3126</v>
      </c>
      <c r="B153" s="75" t="s">
        <v>3127</v>
      </c>
      <c r="C153" s="75" t="s">
        <v>2724</v>
      </c>
      <c r="D153" s="75" t="s">
        <v>2725</v>
      </c>
      <c r="E153" s="46" t="s">
        <v>1386</v>
      </c>
      <c r="F153" s="46" t="s">
        <v>3128</v>
      </c>
      <c r="G153" s="76" t="s">
        <v>485</v>
      </c>
      <c r="H153" s="76" t="s">
        <v>485</v>
      </c>
      <c r="I153" s="76"/>
      <c r="J153" s="76"/>
      <c r="K153" s="76" t="s">
        <v>56</v>
      </c>
      <c r="L153" s="76"/>
      <c r="M153" s="76"/>
      <c r="N153" s="76"/>
      <c r="O153" s="76" t="s">
        <v>2540</v>
      </c>
      <c r="P153" s="76"/>
      <c r="Q153" s="76"/>
      <c r="R153" s="76"/>
      <c r="S153" s="47" t="s">
        <v>1635</v>
      </c>
      <c r="T153" s="75" t="s">
        <v>1636</v>
      </c>
      <c r="U153" s="46" t="s">
        <v>27</v>
      </c>
    </row>
    <row r="154" spans="1:21" ht="12.75">
      <c r="A154" s="48" t="s">
        <v>3129</v>
      </c>
      <c r="B154" s="77" t="s">
        <v>3130</v>
      </c>
      <c r="C154" s="77" t="s">
        <v>3131</v>
      </c>
      <c r="D154" s="77" t="s">
        <v>3132</v>
      </c>
      <c r="E154" s="49" t="s">
        <v>16</v>
      </c>
      <c r="F154" s="49" t="s">
        <v>3194</v>
      </c>
      <c r="G154" s="77" t="s">
        <v>35</v>
      </c>
      <c r="H154" s="78" t="s">
        <v>42</v>
      </c>
      <c r="I154" s="78" t="s">
        <v>42</v>
      </c>
      <c r="J154" s="78"/>
      <c r="K154" s="77" t="s">
        <v>33</v>
      </c>
      <c r="L154" s="77" t="s">
        <v>35</v>
      </c>
      <c r="M154" s="77" t="s">
        <v>59</v>
      </c>
      <c r="N154" s="78"/>
      <c r="O154" s="77" t="s">
        <v>24</v>
      </c>
      <c r="P154" s="78"/>
      <c r="Q154" s="78"/>
      <c r="R154" s="78"/>
      <c r="S154" s="50" t="s">
        <v>3133</v>
      </c>
      <c r="T154" s="77" t="s">
        <v>3134</v>
      </c>
      <c r="U154" s="49" t="s">
        <v>27</v>
      </c>
    </row>
    <row r="155" spans="1:21" ht="12.75">
      <c r="A155" s="33"/>
      <c r="B155" s="29"/>
      <c r="C155" s="29"/>
      <c r="D155" s="29"/>
      <c r="E155" s="30"/>
      <c r="F155" s="30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33"/>
      <c r="T155" s="29"/>
      <c r="U155" s="30"/>
    </row>
    <row r="156" spans="1:21" ht="15">
      <c r="A156" s="117" t="s">
        <v>576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30"/>
    </row>
    <row r="157" spans="1:21" ht="12.75">
      <c r="A157" s="42" t="s">
        <v>3135</v>
      </c>
      <c r="B157" s="73" t="s">
        <v>3136</v>
      </c>
      <c r="C157" s="73" t="s">
        <v>2915</v>
      </c>
      <c r="D157" s="73" t="s">
        <v>2916</v>
      </c>
      <c r="E157" s="43" t="s">
        <v>16</v>
      </c>
      <c r="F157" s="43" t="s">
        <v>41</v>
      </c>
      <c r="G157" s="73" t="s">
        <v>63</v>
      </c>
      <c r="H157" s="73" t="s">
        <v>73</v>
      </c>
      <c r="I157" s="74" t="s">
        <v>83</v>
      </c>
      <c r="J157" s="74"/>
      <c r="K157" s="73" t="s">
        <v>30</v>
      </c>
      <c r="L157" s="73" t="s">
        <v>33</v>
      </c>
      <c r="M157" s="73" t="s">
        <v>38</v>
      </c>
      <c r="N157" s="74"/>
      <c r="O157" s="73" t="s">
        <v>74</v>
      </c>
      <c r="P157" s="73" t="s">
        <v>65</v>
      </c>
      <c r="Q157" s="74" t="s">
        <v>63</v>
      </c>
      <c r="R157" s="74"/>
      <c r="S157" s="44" t="s">
        <v>1720</v>
      </c>
      <c r="T157" s="73" t="s">
        <v>3137</v>
      </c>
      <c r="U157" s="43" t="s">
        <v>1555</v>
      </c>
    </row>
    <row r="158" spans="1:21" ht="12.75">
      <c r="A158" s="45" t="s">
        <v>2758</v>
      </c>
      <c r="B158" s="75" t="s">
        <v>2759</v>
      </c>
      <c r="C158" s="75" t="s">
        <v>2760</v>
      </c>
      <c r="D158" s="75" t="s">
        <v>2761</v>
      </c>
      <c r="E158" s="46" t="s">
        <v>1485</v>
      </c>
      <c r="F158" s="46" t="s">
        <v>1531</v>
      </c>
      <c r="G158" s="75" t="s">
        <v>106</v>
      </c>
      <c r="H158" s="76" t="s">
        <v>1367</v>
      </c>
      <c r="I158" s="76"/>
      <c r="J158" s="76"/>
      <c r="K158" s="75" t="s">
        <v>56</v>
      </c>
      <c r="L158" s="75" t="s">
        <v>57</v>
      </c>
      <c r="M158" s="76" t="s">
        <v>113</v>
      </c>
      <c r="N158" s="76"/>
      <c r="O158" s="75" t="s">
        <v>2540</v>
      </c>
      <c r="P158" s="75" t="s">
        <v>2541</v>
      </c>
      <c r="Q158" s="76" t="s">
        <v>3138</v>
      </c>
      <c r="R158" s="76"/>
      <c r="S158" s="47" t="s">
        <v>3139</v>
      </c>
      <c r="T158" s="75" t="s">
        <v>3140</v>
      </c>
      <c r="U158" s="46" t="s">
        <v>1555</v>
      </c>
    </row>
    <row r="159" spans="1:21" ht="12.75">
      <c r="A159" s="45" t="s">
        <v>3141</v>
      </c>
      <c r="B159" s="75" t="s">
        <v>3142</v>
      </c>
      <c r="C159" s="75" t="s">
        <v>3143</v>
      </c>
      <c r="D159" s="75" t="s">
        <v>3144</v>
      </c>
      <c r="E159" s="46" t="s">
        <v>16</v>
      </c>
      <c r="F159" s="46" t="s">
        <v>2097</v>
      </c>
      <c r="G159" s="75" t="s">
        <v>106</v>
      </c>
      <c r="H159" s="75" t="s">
        <v>549</v>
      </c>
      <c r="I159" s="76" t="s">
        <v>1367</v>
      </c>
      <c r="J159" s="76"/>
      <c r="K159" s="75" t="s">
        <v>42</v>
      </c>
      <c r="L159" s="75" t="s">
        <v>43</v>
      </c>
      <c r="M159" s="75" t="s">
        <v>121</v>
      </c>
      <c r="N159" s="76"/>
      <c r="O159" s="75" t="s">
        <v>106</v>
      </c>
      <c r="P159" s="76" t="s">
        <v>549</v>
      </c>
      <c r="Q159" s="76" t="s">
        <v>549</v>
      </c>
      <c r="R159" s="76"/>
      <c r="S159" s="47" t="s">
        <v>3023</v>
      </c>
      <c r="T159" s="75" t="s">
        <v>3145</v>
      </c>
      <c r="U159" s="46" t="s">
        <v>3146</v>
      </c>
    </row>
    <row r="160" spans="1:21" ht="12.75">
      <c r="A160" s="48" t="s">
        <v>3147</v>
      </c>
      <c r="B160" s="77" t="s">
        <v>3148</v>
      </c>
      <c r="C160" s="77" t="s">
        <v>3149</v>
      </c>
      <c r="D160" s="77" t="s">
        <v>3150</v>
      </c>
      <c r="E160" s="49" t="s">
        <v>16</v>
      </c>
      <c r="F160" s="49" t="s">
        <v>1492</v>
      </c>
      <c r="G160" s="77" t="s">
        <v>115</v>
      </c>
      <c r="H160" s="78" t="s">
        <v>106</v>
      </c>
      <c r="I160" s="78" t="s">
        <v>106</v>
      </c>
      <c r="J160" s="78"/>
      <c r="K160" s="77" t="s">
        <v>99</v>
      </c>
      <c r="L160" s="77" t="s">
        <v>537</v>
      </c>
      <c r="M160" s="78" t="s">
        <v>48</v>
      </c>
      <c r="N160" s="78"/>
      <c r="O160" s="77" t="s">
        <v>83</v>
      </c>
      <c r="P160" s="77" t="s">
        <v>106</v>
      </c>
      <c r="Q160" s="78" t="s">
        <v>1367</v>
      </c>
      <c r="R160" s="78"/>
      <c r="S160" s="50" t="s">
        <v>3117</v>
      </c>
      <c r="T160" s="77" t="s">
        <v>3151</v>
      </c>
      <c r="U160" s="49" t="s">
        <v>1555</v>
      </c>
    </row>
    <row r="161" spans="1:21" ht="12.75">
      <c r="A161" s="33"/>
      <c r="B161" s="29"/>
      <c r="C161" s="29"/>
      <c r="D161" s="29"/>
      <c r="E161" s="30"/>
      <c r="F161" s="30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33"/>
      <c r="T161" s="29"/>
      <c r="U161" s="30"/>
    </row>
    <row r="162" spans="1:21" ht="18">
      <c r="A162" s="34" t="s">
        <v>140</v>
      </c>
      <c r="B162" s="35"/>
      <c r="C162" s="29"/>
      <c r="D162" s="29"/>
      <c r="E162" s="30"/>
      <c r="F162" s="30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3"/>
      <c r="T162" s="29"/>
      <c r="U162" s="30"/>
    </row>
    <row r="163" spans="1:21" ht="15">
      <c r="A163" s="36" t="s">
        <v>595</v>
      </c>
      <c r="B163" s="27"/>
      <c r="C163" s="29"/>
      <c r="D163" s="29"/>
      <c r="E163" s="30"/>
      <c r="F163" s="30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33"/>
      <c r="T163" s="29"/>
      <c r="U163" s="30"/>
    </row>
    <row r="164" spans="1:21" ht="14.25">
      <c r="A164" s="37"/>
      <c r="B164" s="38" t="s">
        <v>596</v>
      </c>
      <c r="C164" s="29"/>
      <c r="D164" s="29"/>
      <c r="E164" s="30"/>
      <c r="F164" s="30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33"/>
      <c r="T164" s="29"/>
      <c r="U164" s="30"/>
    </row>
    <row r="165" spans="1:21" ht="15">
      <c r="A165" s="19" t="s">
        <v>597</v>
      </c>
      <c r="B165" s="39" t="s">
        <v>598</v>
      </c>
      <c r="C165" s="39" t="s">
        <v>599</v>
      </c>
      <c r="D165" s="39" t="s">
        <v>600</v>
      </c>
      <c r="E165" s="39" t="s">
        <v>601</v>
      </c>
      <c r="F165" s="30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33"/>
      <c r="T165" s="29"/>
      <c r="U165" s="30"/>
    </row>
    <row r="166" spans="1:21" ht="12.75">
      <c r="A166" s="40" t="s">
        <v>1610</v>
      </c>
      <c r="B166" s="29" t="s">
        <v>602</v>
      </c>
      <c r="C166" s="29" t="s">
        <v>622</v>
      </c>
      <c r="D166" s="29" t="s">
        <v>268</v>
      </c>
      <c r="E166" s="33" t="s">
        <v>1618</v>
      </c>
      <c r="F166" s="30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33"/>
      <c r="T166" s="29"/>
      <c r="U166" s="30"/>
    </row>
    <row r="167" spans="1:21" ht="12.75">
      <c r="A167" s="33"/>
      <c r="B167" s="29"/>
      <c r="C167" s="29"/>
      <c r="D167" s="29"/>
      <c r="E167" s="30"/>
      <c r="F167" s="30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3"/>
      <c r="T167" s="29"/>
      <c r="U167" s="30"/>
    </row>
    <row r="168" spans="1:21" ht="14.25">
      <c r="A168" s="37"/>
      <c r="B168" s="38" t="s">
        <v>617</v>
      </c>
      <c r="C168" s="29"/>
      <c r="D168" s="29"/>
      <c r="E168" s="30"/>
      <c r="F168" s="30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3"/>
      <c r="T168" s="29"/>
      <c r="U168" s="30"/>
    </row>
    <row r="169" spans="1:21" ht="15">
      <c r="A169" s="19" t="s">
        <v>597</v>
      </c>
      <c r="B169" s="39" t="s">
        <v>598</v>
      </c>
      <c r="C169" s="39" t="s">
        <v>599</v>
      </c>
      <c r="D169" s="39" t="s">
        <v>600</v>
      </c>
      <c r="E169" s="39" t="s">
        <v>601</v>
      </c>
      <c r="F169" s="30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33"/>
      <c r="T169" s="29"/>
      <c r="U169" s="30"/>
    </row>
    <row r="170" spans="1:21" ht="12.75">
      <c r="A170" s="40" t="s">
        <v>1661</v>
      </c>
      <c r="B170" s="29" t="s">
        <v>617</v>
      </c>
      <c r="C170" s="29" t="s">
        <v>1608</v>
      </c>
      <c r="D170" s="29" t="s">
        <v>3152</v>
      </c>
      <c r="E170" s="33" t="s">
        <v>1666</v>
      </c>
      <c r="F170" s="30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33"/>
      <c r="T170" s="29"/>
      <c r="U170" s="30"/>
    </row>
    <row r="171" spans="1:21" ht="12.75">
      <c r="A171" s="40" t="s">
        <v>1655</v>
      </c>
      <c r="B171" s="29" t="s">
        <v>617</v>
      </c>
      <c r="C171" s="29" t="s">
        <v>606</v>
      </c>
      <c r="D171" s="29" t="s">
        <v>753</v>
      </c>
      <c r="E171" s="33" t="s">
        <v>1660</v>
      </c>
      <c r="F171" s="30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33"/>
      <c r="T171" s="29"/>
      <c r="U171" s="30"/>
    </row>
    <row r="172" spans="1:21" ht="12.75">
      <c r="A172" s="40" t="s">
        <v>1637</v>
      </c>
      <c r="B172" s="29" t="s">
        <v>617</v>
      </c>
      <c r="C172" s="29" t="s">
        <v>2773</v>
      </c>
      <c r="D172" s="29" t="s">
        <v>3153</v>
      </c>
      <c r="E172" s="33" t="s">
        <v>1642</v>
      </c>
      <c r="F172" s="30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33"/>
      <c r="T172" s="29"/>
      <c r="U172" s="30"/>
    </row>
    <row r="173" spans="1:21" ht="12.75">
      <c r="A173" s="40" t="s">
        <v>1626</v>
      </c>
      <c r="B173" s="29" t="s">
        <v>617</v>
      </c>
      <c r="C173" s="29" t="s">
        <v>618</v>
      </c>
      <c r="D173" s="29" t="s">
        <v>3066</v>
      </c>
      <c r="E173" s="33" t="s">
        <v>1631</v>
      </c>
      <c r="F173" s="30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33"/>
      <c r="T173" s="29"/>
      <c r="U173" s="30"/>
    </row>
    <row r="174" spans="1:21" ht="12.75">
      <c r="A174" s="40" t="s">
        <v>1643</v>
      </c>
      <c r="B174" s="29" t="s">
        <v>617</v>
      </c>
      <c r="C174" s="29" t="s">
        <v>2773</v>
      </c>
      <c r="D174" s="29" t="s">
        <v>3154</v>
      </c>
      <c r="E174" s="33" t="s">
        <v>1648</v>
      </c>
      <c r="F174" s="30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33"/>
      <c r="T174" s="29"/>
      <c r="U174" s="30"/>
    </row>
    <row r="175" spans="1:21" ht="12.75">
      <c r="A175" s="40" t="s">
        <v>1620</v>
      </c>
      <c r="B175" s="29" t="s">
        <v>617</v>
      </c>
      <c r="C175" s="29" t="s">
        <v>614</v>
      </c>
      <c r="D175" s="29" t="s">
        <v>83</v>
      </c>
      <c r="E175" s="33" t="s">
        <v>1624</v>
      </c>
      <c r="F175" s="30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33"/>
      <c r="T175" s="29"/>
      <c r="U175" s="30"/>
    </row>
    <row r="176" spans="1:21" ht="12.75">
      <c r="A176" s="40" t="s">
        <v>3155</v>
      </c>
      <c r="B176" s="29" t="s">
        <v>617</v>
      </c>
      <c r="C176" s="29" t="s">
        <v>1211</v>
      </c>
      <c r="D176" s="29" t="s">
        <v>2707</v>
      </c>
      <c r="E176" s="33" t="s">
        <v>1673</v>
      </c>
      <c r="F176" s="30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33"/>
      <c r="T176" s="29"/>
      <c r="U176" s="30"/>
    </row>
    <row r="177" spans="1:21" ht="12.75">
      <c r="A177" s="33"/>
      <c r="B177" s="29"/>
      <c r="C177" s="29"/>
      <c r="D177" s="29"/>
      <c r="E177" s="30"/>
      <c r="F177" s="30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33"/>
      <c r="T177" s="29"/>
      <c r="U177" s="30"/>
    </row>
    <row r="178" spans="1:21" ht="15">
      <c r="A178" s="36" t="s">
        <v>637</v>
      </c>
      <c r="B178" s="27"/>
      <c r="C178" s="29"/>
      <c r="D178" s="29"/>
      <c r="E178" s="30"/>
      <c r="F178" s="30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33"/>
      <c r="T178" s="29"/>
      <c r="U178" s="30"/>
    </row>
    <row r="179" spans="1:21" ht="14.25">
      <c r="A179" s="37"/>
      <c r="B179" s="38" t="s">
        <v>596</v>
      </c>
      <c r="C179" s="29"/>
      <c r="D179" s="29"/>
      <c r="E179" s="30"/>
      <c r="F179" s="30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33"/>
      <c r="T179" s="29"/>
      <c r="U179" s="30"/>
    </row>
    <row r="180" spans="1:21" ht="15">
      <c r="A180" s="19" t="s">
        <v>597</v>
      </c>
      <c r="B180" s="39" t="s">
        <v>598</v>
      </c>
      <c r="C180" s="39" t="s">
        <v>599</v>
      </c>
      <c r="D180" s="39" t="s">
        <v>600</v>
      </c>
      <c r="E180" s="39" t="s">
        <v>601</v>
      </c>
      <c r="F180" s="30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33"/>
      <c r="T180" s="29"/>
      <c r="U180" s="30"/>
    </row>
    <row r="181" spans="1:21" ht="12.75">
      <c r="A181" s="40" t="s">
        <v>2964</v>
      </c>
      <c r="B181" s="29" t="s">
        <v>605</v>
      </c>
      <c r="C181" s="29" t="s">
        <v>649</v>
      </c>
      <c r="D181" s="29" t="s">
        <v>3156</v>
      </c>
      <c r="E181" s="33" t="s">
        <v>2967</v>
      </c>
      <c r="F181" s="30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33"/>
      <c r="T181" s="29"/>
      <c r="U181" s="30"/>
    </row>
    <row r="182" spans="1:21" ht="12.75">
      <c r="A182" s="40" t="s">
        <v>1674</v>
      </c>
      <c r="B182" s="29" t="s">
        <v>605</v>
      </c>
      <c r="C182" s="29" t="s">
        <v>2773</v>
      </c>
      <c r="D182" s="29" t="s">
        <v>3157</v>
      </c>
      <c r="E182" s="33" t="s">
        <v>1679</v>
      </c>
      <c r="F182" s="30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33"/>
      <c r="T182" s="29"/>
      <c r="U182" s="30"/>
    </row>
    <row r="183" spans="1:21" ht="12.75">
      <c r="A183" s="33"/>
      <c r="B183" s="29"/>
      <c r="C183" s="29"/>
      <c r="D183" s="29"/>
      <c r="E183" s="30"/>
      <c r="F183" s="30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33"/>
      <c r="T183" s="29"/>
      <c r="U183" s="30"/>
    </row>
    <row r="184" spans="1:21" ht="14.25">
      <c r="A184" s="37"/>
      <c r="B184" s="38" t="s">
        <v>608</v>
      </c>
      <c r="C184" s="29"/>
      <c r="D184" s="29"/>
      <c r="E184" s="30"/>
      <c r="F184" s="30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33"/>
      <c r="T184" s="29"/>
      <c r="U184" s="30"/>
    </row>
    <row r="185" spans="1:21" ht="15">
      <c r="A185" s="19" t="s">
        <v>597</v>
      </c>
      <c r="B185" s="39" t="s">
        <v>598</v>
      </c>
      <c r="C185" s="39" t="s">
        <v>599</v>
      </c>
      <c r="D185" s="39" t="s">
        <v>600</v>
      </c>
      <c r="E185" s="39" t="s">
        <v>601</v>
      </c>
      <c r="F185" s="30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33"/>
      <c r="T185" s="29"/>
      <c r="U185" s="30"/>
    </row>
    <row r="186" spans="1:21" ht="12.75">
      <c r="A186" s="40" t="s">
        <v>2968</v>
      </c>
      <c r="B186" s="29" t="s">
        <v>608</v>
      </c>
      <c r="C186" s="29" t="s">
        <v>649</v>
      </c>
      <c r="D186" s="29" t="s">
        <v>3158</v>
      </c>
      <c r="E186" s="33" t="s">
        <v>2971</v>
      </c>
      <c r="F186" s="30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33"/>
      <c r="T186" s="29"/>
      <c r="U186" s="30"/>
    </row>
    <row r="187" spans="1:21" ht="12.75">
      <c r="A187" s="40" t="s">
        <v>3062</v>
      </c>
      <c r="B187" s="29" t="s">
        <v>608</v>
      </c>
      <c r="C187" s="29" t="s">
        <v>657</v>
      </c>
      <c r="D187" s="29" t="s">
        <v>3159</v>
      </c>
      <c r="E187" s="33" t="s">
        <v>3065</v>
      </c>
      <c r="F187" s="30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33"/>
      <c r="T187" s="29"/>
      <c r="U187" s="30"/>
    </row>
    <row r="188" spans="1:21" ht="12.75">
      <c r="A188" s="40" t="s">
        <v>2709</v>
      </c>
      <c r="B188" s="29" t="s">
        <v>608</v>
      </c>
      <c r="C188" s="29" t="s">
        <v>657</v>
      </c>
      <c r="D188" s="29" t="s">
        <v>3160</v>
      </c>
      <c r="E188" s="33" t="s">
        <v>3068</v>
      </c>
      <c r="F188" s="30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3"/>
      <c r="T188" s="29"/>
      <c r="U188" s="30"/>
    </row>
    <row r="189" spans="1:21" ht="12.75">
      <c r="A189" s="40" t="s">
        <v>3070</v>
      </c>
      <c r="B189" s="29" t="s">
        <v>608</v>
      </c>
      <c r="C189" s="29" t="s">
        <v>657</v>
      </c>
      <c r="D189" s="29" t="s">
        <v>3160</v>
      </c>
      <c r="E189" s="33" t="s">
        <v>3073</v>
      </c>
      <c r="F189" s="30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3"/>
      <c r="T189" s="29"/>
      <c r="U189" s="30"/>
    </row>
    <row r="190" spans="1:21" ht="12.75">
      <c r="A190" s="40" t="s">
        <v>1786</v>
      </c>
      <c r="B190" s="29" t="s">
        <v>608</v>
      </c>
      <c r="C190" s="29" t="s">
        <v>638</v>
      </c>
      <c r="D190" s="29" t="s">
        <v>3161</v>
      </c>
      <c r="E190" s="33" t="s">
        <v>1791</v>
      </c>
      <c r="F190" s="30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33"/>
      <c r="T190" s="29"/>
      <c r="U190" s="30"/>
    </row>
    <row r="191" spans="1:21" ht="12.75">
      <c r="A191" s="40" t="s">
        <v>1868</v>
      </c>
      <c r="B191" s="29" t="s">
        <v>608</v>
      </c>
      <c r="C191" s="29" t="s">
        <v>662</v>
      </c>
      <c r="D191" s="29" t="s">
        <v>699</v>
      </c>
      <c r="E191" s="33" t="s">
        <v>1872</v>
      </c>
      <c r="F191" s="30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33"/>
      <c r="T191" s="29"/>
      <c r="U191" s="30"/>
    </row>
    <row r="192" spans="1:21" ht="12.75">
      <c r="A192" s="40" t="s">
        <v>3075</v>
      </c>
      <c r="B192" s="29" t="s">
        <v>608</v>
      </c>
      <c r="C192" s="29" t="s">
        <v>657</v>
      </c>
      <c r="D192" s="29" t="s">
        <v>3162</v>
      </c>
      <c r="E192" s="33" t="s">
        <v>3081</v>
      </c>
      <c r="F192" s="30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3"/>
      <c r="T192" s="29"/>
      <c r="U192" s="30"/>
    </row>
    <row r="193" spans="1:21" ht="12.75">
      <c r="A193" s="40" t="s">
        <v>3083</v>
      </c>
      <c r="B193" s="29" t="s">
        <v>608</v>
      </c>
      <c r="C193" s="29" t="s">
        <v>657</v>
      </c>
      <c r="D193" s="29" t="s">
        <v>3163</v>
      </c>
      <c r="E193" s="33" t="s">
        <v>3089</v>
      </c>
      <c r="F193" s="30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33"/>
      <c r="T193" s="29"/>
      <c r="U193" s="30"/>
    </row>
    <row r="194" spans="1:21" ht="12.75">
      <c r="A194" s="40" t="s">
        <v>2972</v>
      </c>
      <c r="B194" s="29" t="s">
        <v>608</v>
      </c>
      <c r="C194" s="29" t="s">
        <v>649</v>
      </c>
      <c r="D194" s="29" t="s">
        <v>3161</v>
      </c>
      <c r="E194" s="33" t="s">
        <v>2977</v>
      </c>
      <c r="F194" s="30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33"/>
      <c r="T194" s="29"/>
      <c r="U194" s="30"/>
    </row>
    <row r="195" spans="1:21" ht="12.75">
      <c r="A195" s="40" t="s">
        <v>1716</v>
      </c>
      <c r="B195" s="29" t="s">
        <v>608</v>
      </c>
      <c r="C195" s="29" t="s">
        <v>1608</v>
      </c>
      <c r="D195" s="29" t="s">
        <v>744</v>
      </c>
      <c r="E195" s="33" t="s">
        <v>1721</v>
      </c>
      <c r="F195" s="30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3"/>
      <c r="T195" s="29"/>
      <c r="U195" s="30"/>
    </row>
    <row r="196" spans="1:21" ht="12.75">
      <c r="A196" s="40" t="s">
        <v>2979</v>
      </c>
      <c r="B196" s="29" t="s">
        <v>608</v>
      </c>
      <c r="C196" s="29" t="s">
        <v>649</v>
      </c>
      <c r="D196" s="29" t="s">
        <v>720</v>
      </c>
      <c r="E196" s="33" t="s">
        <v>2984</v>
      </c>
      <c r="F196" s="30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33"/>
      <c r="T196" s="29"/>
      <c r="U196" s="30"/>
    </row>
    <row r="197" spans="1:21" ht="12.75">
      <c r="A197" s="40" t="s">
        <v>1873</v>
      </c>
      <c r="B197" s="29" t="s">
        <v>608</v>
      </c>
      <c r="C197" s="29" t="s">
        <v>662</v>
      </c>
      <c r="D197" s="29" t="s">
        <v>744</v>
      </c>
      <c r="E197" s="33" t="s">
        <v>1877</v>
      </c>
      <c r="F197" s="30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3"/>
      <c r="T197" s="29"/>
      <c r="U197" s="30"/>
    </row>
    <row r="198" spans="1:21" ht="12.75">
      <c r="A198" s="40" t="s">
        <v>2985</v>
      </c>
      <c r="B198" s="29" t="s">
        <v>608</v>
      </c>
      <c r="C198" s="29" t="s">
        <v>649</v>
      </c>
      <c r="D198" s="29" t="s">
        <v>660</v>
      </c>
      <c r="E198" s="33" t="s">
        <v>2989</v>
      </c>
      <c r="F198" s="30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3"/>
      <c r="T198" s="29"/>
      <c r="U198" s="30"/>
    </row>
    <row r="199" spans="1:21" ht="12.75">
      <c r="A199" s="40" t="s">
        <v>1792</v>
      </c>
      <c r="B199" s="29" t="s">
        <v>608</v>
      </c>
      <c r="C199" s="29" t="s">
        <v>638</v>
      </c>
      <c r="D199" s="29" t="s">
        <v>673</v>
      </c>
      <c r="E199" s="33" t="s">
        <v>1796</v>
      </c>
      <c r="F199" s="30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3"/>
      <c r="T199" s="29"/>
      <c r="U199" s="30"/>
    </row>
    <row r="200" spans="1:21" ht="12.75">
      <c r="A200" s="40" t="s">
        <v>1878</v>
      </c>
      <c r="B200" s="29" t="s">
        <v>608</v>
      </c>
      <c r="C200" s="29" t="s">
        <v>662</v>
      </c>
      <c r="D200" s="29" t="s">
        <v>733</v>
      </c>
      <c r="E200" s="33" t="s">
        <v>1882</v>
      </c>
      <c r="F200" s="30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3"/>
      <c r="T200" s="29"/>
      <c r="U200" s="30"/>
    </row>
    <row r="201" spans="1:21" ht="12.75">
      <c r="A201" s="40" t="s">
        <v>1722</v>
      </c>
      <c r="B201" s="29" t="s">
        <v>608</v>
      </c>
      <c r="C201" s="29" t="s">
        <v>1608</v>
      </c>
      <c r="D201" s="29" t="s">
        <v>647</v>
      </c>
      <c r="E201" s="33" t="s">
        <v>1728</v>
      </c>
      <c r="F201" s="30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3"/>
      <c r="T201" s="29"/>
      <c r="U201" s="30"/>
    </row>
    <row r="202" spans="1:21" ht="12.75">
      <c r="A202" s="40" t="s">
        <v>3135</v>
      </c>
      <c r="B202" s="29" t="s">
        <v>608</v>
      </c>
      <c r="C202" s="29" t="s">
        <v>665</v>
      </c>
      <c r="D202" s="29" t="s">
        <v>744</v>
      </c>
      <c r="E202" s="33" t="s">
        <v>3137</v>
      </c>
      <c r="F202" s="30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3"/>
      <c r="T202" s="29"/>
      <c r="U202" s="30"/>
    </row>
    <row r="203" spans="1:21" ht="12.75">
      <c r="A203" s="40" t="s">
        <v>1883</v>
      </c>
      <c r="B203" s="29" t="s">
        <v>608</v>
      </c>
      <c r="C203" s="29" t="s">
        <v>662</v>
      </c>
      <c r="D203" s="29" t="s">
        <v>650</v>
      </c>
      <c r="E203" s="33" t="s">
        <v>1888</v>
      </c>
      <c r="F203" s="30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3"/>
      <c r="T203" s="29"/>
      <c r="U203" s="30"/>
    </row>
    <row r="204" spans="1:21" ht="12.75">
      <c r="A204" s="33"/>
      <c r="B204" s="29"/>
      <c r="C204" s="29"/>
      <c r="D204" s="29"/>
      <c r="E204" s="30"/>
      <c r="F204" s="30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33"/>
      <c r="T204" s="29"/>
      <c r="U204" s="30"/>
    </row>
    <row r="205" spans="1:21" ht="14.25">
      <c r="A205" s="37"/>
      <c r="B205" s="38" t="s">
        <v>617</v>
      </c>
      <c r="C205" s="29"/>
      <c r="D205" s="29"/>
      <c r="E205" s="30"/>
      <c r="F205" s="30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33"/>
      <c r="T205" s="29"/>
      <c r="U205" s="30"/>
    </row>
    <row r="206" spans="1:21" ht="15">
      <c r="A206" s="19" t="s">
        <v>597</v>
      </c>
      <c r="B206" s="39" t="s">
        <v>598</v>
      </c>
      <c r="C206" s="39" t="s">
        <v>599</v>
      </c>
      <c r="D206" s="39" t="s">
        <v>600</v>
      </c>
      <c r="E206" s="39" t="s">
        <v>601</v>
      </c>
      <c r="F206" s="30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33"/>
      <c r="T206" s="29"/>
      <c r="U206" s="30"/>
    </row>
    <row r="207" spans="1:21" ht="12.75">
      <c r="A207" s="40" t="s">
        <v>2715</v>
      </c>
      <c r="B207" s="29" t="s">
        <v>617</v>
      </c>
      <c r="C207" s="29" t="s">
        <v>657</v>
      </c>
      <c r="D207" s="29" t="s">
        <v>3164</v>
      </c>
      <c r="E207" s="33" t="s">
        <v>3092</v>
      </c>
      <c r="F207" s="30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3"/>
      <c r="T207" s="29"/>
      <c r="U207" s="30"/>
    </row>
    <row r="208" spans="1:21" ht="12.75">
      <c r="A208" s="40" t="s">
        <v>2990</v>
      </c>
      <c r="B208" s="29" t="s">
        <v>617</v>
      </c>
      <c r="C208" s="29" t="s">
        <v>649</v>
      </c>
      <c r="D208" s="29" t="s">
        <v>3165</v>
      </c>
      <c r="E208" s="33" t="s">
        <v>2994</v>
      </c>
      <c r="F208" s="30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33"/>
      <c r="T208" s="29"/>
      <c r="U208" s="30"/>
    </row>
    <row r="209" spans="1:21" ht="12.75">
      <c r="A209" s="40" t="s">
        <v>84</v>
      </c>
      <c r="B209" s="29" t="s">
        <v>617</v>
      </c>
      <c r="C209" s="29" t="s">
        <v>1608</v>
      </c>
      <c r="D209" s="29" t="s">
        <v>3166</v>
      </c>
      <c r="E209" s="33" t="s">
        <v>1742</v>
      </c>
      <c r="F209" s="30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33"/>
      <c r="T209" s="29"/>
      <c r="U209" s="30"/>
    </row>
    <row r="210" spans="1:21" ht="12.75">
      <c r="A210" s="40" t="s">
        <v>2995</v>
      </c>
      <c r="B210" s="29" t="s">
        <v>617</v>
      </c>
      <c r="C210" s="29" t="s">
        <v>649</v>
      </c>
      <c r="D210" s="29" t="s">
        <v>3167</v>
      </c>
      <c r="E210" s="33" t="s">
        <v>2999</v>
      </c>
      <c r="F210" s="30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33"/>
      <c r="T210" s="29"/>
      <c r="U210" s="30"/>
    </row>
    <row r="211" spans="1:21" ht="12.75">
      <c r="A211" s="40" t="s">
        <v>3095</v>
      </c>
      <c r="B211" s="29" t="s">
        <v>617</v>
      </c>
      <c r="C211" s="29" t="s">
        <v>657</v>
      </c>
      <c r="D211" s="29" t="s">
        <v>3168</v>
      </c>
      <c r="E211" s="33" t="s">
        <v>3100</v>
      </c>
      <c r="F211" s="30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33"/>
      <c r="T211" s="29"/>
      <c r="U211" s="30"/>
    </row>
    <row r="212" spans="1:21" ht="12.75">
      <c r="A212" s="40" t="s">
        <v>3000</v>
      </c>
      <c r="B212" s="29" t="s">
        <v>617</v>
      </c>
      <c r="C212" s="29" t="s">
        <v>649</v>
      </c>
      <c r="D212" s="29" t="s">
        <v>3169</v>
      </c>
      <c r="E212" s="33" t="s">
        <v>3006</v>
      </c>
      <c r="F212" s="30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33"/>
      <c r="T212" s="29"/>
      <c r="U212" s="30"/>
    </row>
    <row r="213" spans="1:21" ht="12.75">
      <c r="A213" s="40" t="s">
        <v>1801</v>
      </c>
      <c r="B213" s="29" t="s">
        <v>617</v>
      </c>
      <c r="C213" s="29" t="s">
        <v>638</v>
      </c>
      <c r="D213" s="29" t="s">
        <v>705</v>
      </c>
      <c r="E213" s="33" t="s">
        <v>1806</v>
      </c>
      <c r="F213" s="30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33"/>
      <c r="T213" s="29"/>
      <c r="U213" s="30"/>
    </row>
    <row r="214" spans="1:21" ht="12.75">
      <c r="A214" s="40" t="s">
        <v>3012</v>
      </c>
      <c r="B214" s="29" t="s">
        <v>617</v>
      </c>
      <c r="C214" s="29" t="s">
        <v>649</v>
      </c>
      <c r="D214" s="29" t="s">
        <v>3170</v>
      </c>
      <c r="E214" s="33" t="s">
        <v>3018</v>
      </c>
      <c r="F214" s="30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3"/>
      <c r="T214" s="29"/>
      <c r="U214" s="30"/>
    </row>
    <row r="215" spans="1:21" ht="12.75">
      <c r="A215" s="40" t="s">
        <v>1807</v>
      </c>
      <c r="B215" s="29" t="s">
        <v>617</v>
      </c>
      <c r="C215" s="29" t="s">
        <v>638</v>
      </c>
      <c r="D215" s="29" t="s">
        <v>3161</v>
      </c>
      <c r="E215" s="33" t="s">
        <v>1814</v>
      </c>
      <c r="F215" s="30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3"/>
      <c r="T215" s="29"/>
      <c r="U215" s="30"/>
    </row>
    <row r="216" spans="1:21" ht="12.75">
      <c r="A216" s="40" t="s">
        <v>2758</v>
      </c>
      <c r="B216" s="29" t="s">
        <v>617</v>
      </c>
      <c r="C216" s="29" t="s">
        <v>665</v>
      </c>
      <c r="D216" s="29" t="s">
        <v>3171</v>
      </c>
      <c r="E216" s="33" t="s">
        <v>3140</v>
      </c>
      <c r="F216" s="30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33"/>
      <c r="T216" s="29"/>
      <c r="U216" s="30"/>
    </row>
    <row r="217" spans="1:21" ht="12.75">
      <c r="A217" s="40" t="s">
        <v>483</v>
      </c>
      <c r="B217" s="29" t="s">
        <v>617</v>
      </c>
      <c r="C217" s="29" t="s">
        <v>662</v>
      </c>
      <c r="D217" s="29" t="s">
        <v>3172</v>
      </c>
      <c r="E217" s="33" t="s">
        <v>1891</v>
      </c>
      <c r="F217" s="30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3"/>
      <c r="T217" s="29"/>
      <c r="U217" s="30"/>
    </row>
    <row r="218" spans="1:21" ht="12.75">
      <c r="A218" s="40" t="s">
        <v>1743</v>
      </c>
      <c r="B218" s="29" t="s">
        <v>617</v>
      </c>
      <c r="C218" s="29" t="s">
        <v>1608</v>
      </c>
      <c r="D218" s="29" t="s">
        <v>3173</v>
      </c>
      <c r="E218" s="33" t="s">
        <v>1747</v>
      </c>
      <c r="F218" s="30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33"/>
      <c r="T218" s="29"/>
      <c r="U218" s="30"/>
    </row>
    <row r="219" spans="1:21" ht="12.75">
      <c r="A219" s="40" t="s">
        <v>3070</v>
      </c>
      <c r="B219" s="29" t="s">
        <v>617</v>
      </c>
      <c r="C219" s="29" t="s">
        <v>657</v>
      </c>
      <c r="D219" s="29" t="s">
        <v>3160</v>
      </c>
      <c r="E219" s="33" t="s">
        <v>3073</v>
      </c>
      <c r="F219" s="30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3"/>
      <c r="T219" s="29"/>
      <c r="U219" s="30"/>
    </row>
    <row r="220" spans="1:21" ht="12.75">
      <c r="A220" s="40" t="s">
        <v>3007</v>
      </c>
      <c r="B220" s="29" t="s">
        <v>617</v>
      </c>
      <c r="C220" s="29" t="s">
        <v>649</v>
      </c>
      <c r="D220" s="29" t="s">
        <v>3174</v>
      </c>
      <c r="E220" s="33" t="s">
        <v>3011</v>
      </c>
      <c r="F220" s="30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33"/>
      <c r="T220" s="29"/>
      <c r="U220" s="30"/>
    </row>
    <row r="221" spans="1:21" ht="12.75">
      <c r="A221" s="40" t="s">
        <v>1786</v>
      </c>
      <c r="B221" s="29" t="s">
        <v>617</v>
      </c>
      <c r="C221" s="29" t="s">
        <v>638</v>
      </c>
      <c r="D221" s="29" t="s">
        <v>3161</v>
      </c>
      <c r="E221" s="33" t="s">
        <v>1791</v>
      </c>
      <c r="F221" s="30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33"/>
      <c r="T221" s="29"/>
      <c r="U221" s="30"/>
    </row>
    <row r="222" spans="1:21" ht="12.75">
      <c r="A222" s="40" t="s">
        <v>1868</v>
      </c>
      <c r="B222" s="29" t="s">
        <v>617</v>
      </c>
      <c r="C222" s="29" t="s">
        <v>662</v>
      </c>
      <c r="D222" s="29" t="s">
        <v>699</v>
      </c>
      <c r="E222" s="33" t="s">
        <v>1872</v>
      </c>
      <c r="F222" s="30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3"/>
      <c r="T222" s="29"/>
      <c r="U222" s="30"/>
    </row>
    <row r="223" spans="1:21" ht="12.75">
      <c r="A223" s="40" t="s">
        <v>1893</v>
      </c>
      <c r="B223" s="29" t="s">
        <v>617</v>
      </c>
      <c r="C223" s="29" t="s">
        <v>662</v>
      </c>
      <c r="D223" s="29" t="s">
        <v>3175</v>
      </c>
      <c r="E223" s="33" t="s">
        <v>1897</v>
      </c>
      <c r="F223" s="30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33"/>
      <c r="T223" s="29"/>
      <c r="U223" s="30"/>
    </row>
    <row r="224" spans="1:21" ht="12.75">
      <c r="A224" s="40" t="s">
        <v>1518</v>
      </c>
      <c r="B224" s="29" t="s">
        <v>617</v>
      </c>
      <c r="C224" s="29" t="s">
        <v>657</v>
      </c>
      <c r="D224" s="29" t="s">
        <v>3176</v>
      </c>
      <c r="E224" s="33" t="s">
        <v>3102</v>
      </c>
      <c r="F224" s="30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33"/>
      <c r="T224" s="29"/>
      <c r="U224" s="30"/>
    </row>
    <row r="225" spans="1:21" ht="12.75">
      <c r="A225" s="40" t="s">
        <v>1748</v>
      </c>
      <c r="B225" s="29" t="s">
        <v>617</v>
      </c>
      <c r="C225" s="29" t="s">
        <v>1608</v>
      </c>
      <c r="D225" s="29" t="s">
        <v>3177</v>
      </c>
      <c r="E225" s="33" t="s">
        <v>1753</v>
      </c>
      <c r="F225" s="30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33"/>
      <c r="T225" s="29"/>
      <c r="U225" s="30"/>
    </row>
    <row r="226" spans="1:21" ht="12.75">
      <c r="A226" s="40" t="s">
        <v>1898</v>
      </c>
      <c r="B226" s="29" t="s">
        <v>617</v>
      </c>
      <c r="C226" s="29" t="s">
        <v>662</v>
      </c>
      <c r="D226" s="29" t="s">
        <v>693</v>
      </c>
      <c r="E226" s="33" t="s">
        <v>1902</v>
      </c>
      <c r="F226" s="30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33"/>
      <c r="T226" s="29"/>
      <c r="U226" s="30"/>
    </row>
    <row r="227" spans="1:21" ht="12.75">
      <c r="A227" s="40" t="s">
        <v>3019</v>
      </c>
      <c r="B227" s="29" t="s">
        <v>617</v>
      </c>
      <c r="C227" s="29" t="s">
        <v>649</v>
      </c>
      <c r="D227" s="29" t="s">
        <v>691</v>
      </c>
      <c r="E227" s="33" t="s">
        <v>3024</v>
      </c>
      <c r="F227" s="30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33"/>
      <c r="T227" s="29"/>
      <c r="U227" s="30"/>
    </row>
    <row r="228" spans="1:21" ht="12.75">
      <c r="A228" s="40" t="s">
        <v>2679</v>
      </c>
      <c r="B228" s="29" t="s">
        <v>617</v>
      </c>
      <c r="C228" s="29" t="s">
        <v>649</v>
      </c>
      <c r="D228" s="29" t="s">
        <v>3178</v>
      </c>
      <c r="E228" s="33" t="s">
        <v>3026</v>
      </c>
      <c r="F228" s="30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33"/>
      <c r="T228" s="29"/>
      <c r="U228" s="30"/>
    </row>
    <row r="229" spans="1:21" ht="12.75">
      <c r="A229" s="40" t="s">
        <v>3103</v>
      </c>
      <c r="B229" s="29" t="s">
        <v>617</v>
      </c>
      <c r="C229" s="29" t="s">
        <v>657</v>
      </c>
      <c r="D229" s="29" t="s">
        <v>3179</v>
      </c>
      <c r="E229" s="33" t="s">
        <v>3108</v>
      </c>
      <c r="F229" s="30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33"/>
      <c r="T229" s="29"/>
      <c r="U229" s="30"/>
    </row>
    <row r="230" spans="1:21" ht="12.75">
      <c r="A230" s="40" t="s">
        <v>3027</v>
      </c>
      <c r="B230" s="29" t="s">
        <v>617</v>
      </c>
      <c r="C230" s="29" t="s">
        <v>649</v>
      </c>
      <c r="D230" s="29" t="s">
        <v>705</v>
      </c>
      <c r="E230" s="33" t="s">
        <v>3030</v>
      </c>
      <c r="F230" s="30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33"/>
      <c r="T230" s="29"/>
      <c r="U230" s="30"/>
    </row>
    <row r="231" spans="1:21" ht="12.75">
      <c r="A231" s="33"/>
      <c r="B231" s="29"/>
      <c r="C231" s="29"/>
      <c r="D231" s="29"/>
      <c r="E231" s="30"/>
      <c r="F231" s="30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33"/>
      <c r="T231" s="29"/>
      <c r="U231" s="30"/>
    </row>
    <row r="232" spans="1:21" ht="14.25">
      <c r="A232" s="37"/>
      <c r="B232" s="38" t="s">
        <v>632</v>
      </c>
      <c r="C232" s="29"/>
      <c r="D232" s="29"/>
      <c r="E232" s="30"/>
      <c r="F232" s="30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33"/>
      <c r="T232" s="29"/>
      <c r="U232" s="30"/>
    </row>
    <row r="233" spans="1:21" ht="15">
      <c r="A233" s="19" t="s">
        <v>597</v>
      </c>
      <c r="B233" s="39" t="s">
        <v>598</v>
      </c>
      <c r="C233" s="39" t="s">
        <v>599</v>
      </c>
      <c r="D233" s="39" t="s">
        <v>600</v>
      </c>
      <c r="E233" s="39" t="s">
        <v>601</v>
      </c>
      <c r="F233" s="30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33"/>
      <c r="T233" s="29"/>
      <c r="U233" s="30"/>
    </row>
    <row r="234" spans="1:21" ht="12.75">
      <c r="A234" s="40" t="s">
        <v>1997</v>
      </c>
      <c r="B234" s="29" t="s">
        <v>727</v>
      </c>
      <c r="C234" s="29" t="s">
        <v>662</v>
      </c>
      <c r="D234" s="29" t="s">
        <v>722</v>
      </c>
      <c r="E234" s="33" t="s">
        <v>1999</v>
      </c>
      <c r="F234" s="30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33"/>
      <c r="T234" s="29"/>
      <c r="U234" s="30"/>
    </row>
    <row r="235" spans="1:21" ht="12.75">
      <c r="A235" s="40" t="s">
        <v>2009</v>
      </c>
      <c r="B235" s="29" t="s">
        <v>727</v>
      </c>
      <c r="C235" s="29" t="s">
        <v>662</v>
      </c>
      <c r="D235" s="29" t="s">
        <v>3180</v>
      </c>
      <c r="E235" s="33" t="s">
        <v>2013</v>
      </c>
      <c r="F235" s="30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33"/>
      <c r="T235" s="29"/>
      <c r="U235" s="30"/>
    </row>
    <row r="236" spans="1:21" ht="12.75">
      <c r="A236" s="40" t="s">
        <v>1979</v>
      </c>
      <c r="B236" s="29" t="s">
        <v>633</v>
      </c>
      <c r="C236" s="29" t="s">
        <v>662</v>
      </c>
      <c r="D236" s="29" t="s">
        <v>3181</v>
      </c>
      <c r="E236" s="33" t="s">
        <v>1984</v>
      </c>
      <c r="F236" s="30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33"/>
      <c r="T236" s="29"/>
      <c r="U236" s="30"/>
    </row>
    <row r="237" spans="1:21" ht="12.75">
      <c r="A237" s="40" t="s">
        <v>2014</v>
      </c>
      <c r="B237" s="29" t="s">
        <v>727</v>
      </c>
      <c r="C237" s="29" t="s">
        <v>662</v>
      </c>
      <c r="D237" s="29" t="s">
        <v>3182</v>
      </c>
      <c r="E237" s="33" t="s">
        <v>2018</v>
      </c>
      <c r="F237" s="30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33"/>
      <c r="T237" s="29"/>
      <c r="U237" s="30"/>
    </row>
    <row r="238" spans="1:21" ht="12.75">
      <c r="A238" s="40" t="s">
        <v>2001</v>
      </c>
      <c r="B238" s="29" t="s">
        <v>727</v>
      </c>
      <c r="C238" s="29" t="s">
        <v>662</v>
      </c>
      <c r="D238" s="29" t="s">
        <v>3183</v>
      </c>
      <c r="E238" s="33" t="s">
        <v>2008</v>
      </c>
      <c r="F238" s="30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33"/>
      <c r="T238" s="29"/>
      <c r="U238" s="30"/>
    </row>
    <row r="239" spans="1:21" ht="12.75">
      <c r="A239" s="40" t="s">
        <v>3056</v>
      </c>
      <c r="B239" s="29" t="s">
        <v>633</v>
      </c>
      <c r="C239" s="29" t="s">
        <v>649</v>
      </c>
      <c r="D239" s="29" t="s">
        <v>744</v>
      </c>
      <c r="E239" s="33" t="s">
        <v>3058</v>
      </c>
      <c r="F239" s="30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33"/>
      <c r="T239" s="29"/>
      <c r="U239" s="30"/>
    </row>
    <row r="240" spans="1:21" ht="12.75">
      <c r="A240" s="40" t="s">
        <v>1973</v>
      </c>
      <c r="B240" s="29" t="s">
        <v>633</v>
      </c>
      <c r="C240" s="29" t="s">
        <v>662</v>
      </c>
      <c r="D240" s="29" t="s">
        <v>3184</v>
      </c>
      <c r="E240" s="33" t="s">
        <v>1978</v>
      </c>
      <c r="F240" s="30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33"/>
      <c r="T240" s="29"/>
      <c r="U240" s="30"/>
    </row>
    <row r="241" spans="1:21" ht="12.75">
      <c r="A241" s="40" t="s">
        <v>455</v>
      </c>
      <c r="B241" s="29" t="s">
        <v>633</v>
      </c>
      <c r="C241" s="29" t="s">
        <v>662</v>
      </c>
      <c r="D241" s="29" t="s">
        <v>660</v>
      </c>
      <c r="E241" s="33" t="s">
        <v>1989</v>
      </c>
      <c r="F241" s="30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33"/>
      <c r="T241" s="29"/>
      <c r="U241" s="30"/>
    </row>
    <row r="242" spans="1:21" ht="12.75">
      <c r="A242" s="40" t="s">
        <v>2457</v>
      </c>
      <c r="B242" s="29" t="s">
        <v>730</v>
      </c>
      <c r="C242" s="29" t="s">
        <v>649</v>
      </c>
      <c r="D242" s="29" t="s">
        <v>3185</v>
      </c>
      <c r="E242" s="33" t="s">
        <v>3061</v>
      </c>
      <c r="F242" s="30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33"/>
      <c r="T242" s="29"/>
      <c r="U242" s="30"/>
    </row>
    <row r="243" spans="1:21" ht="12.75">
      <c r="A243" s="40" t="s">
        <v>1845</v>
      </c>
      <c r="B243" s="29" t="s">
        <v>633</v>
      </c>
      <c r="C243" s="29" t="s">
        <v>638</v>
      </c>
      <c r="D243" s="29" t="s">
        <v>639</v>
      </c>
      <c r="E243" s="33" t="s">
        <v>1848</v>
      </c>
      <c r="F243" s="30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33"/>
      <c r="T243" s="29"/>
      <c r="U243" s="30"/>
    </row>
    <row r="244" spans="1:21" ht="12.75">
      <c r="A244" s="40" t="s">
        <v>1706</v>
      </c>
      <c r="B244" s="29" t="s">
        <v>727</v>
      </c>
      <c r="C244" s="29" t="s">
        <v>606</v>
      </c>
      <c r="D244" s="29" t="s">
        <v>728</v>
      </c>
      <c r="E244" s="33" t="s">
        <v>1711</v>
      </c>
      <c r="F244" s="30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33"/>
      <c r="T244" s="29"/>
      <c r="U244" s="30"/>
    </row>
    <row r="245" spans="1:21" ht="12.75">
      <c r="A245" s="40" t="s">
        <v>3052</v>
      </c>
      <c r="B245" s="29" t="s">
        <v>633</v>
      </c>
      <c r="C245" s="29" t="s">
        <v>649</v>
      </c>
      <c r="D245" s="29" t="s">
        <v>660</v>
      </c>
      <c r="E245" s="33" t="s">
        <v>3055</v>
      </c>
      <c r="F245" s="30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33"/>
      <c r="T245" s="29"/>
      <c r="U245" s="30"/>
    </row>
    <row r="246" spans="1:21" ht="12.75">
      <c r="A246" s="40" t="s">
        <v>1990</v>
      </c>
      <c r="B246" s="29" t="s">
        <v>633</v>
      </c>
      <c r="C246" s="29" t="s">
        <v>662</v>
      </c>
      <c r="D246" s="29" t="s">
        <v>3156</v>
      </c>
      <c r="E246" s="33" t="s">
        <v>1995</v>
      </c>
      <c r="F246" s="30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33"/>
      <c r="T246" s="29"/>
      <c r="U246" s="30"/>
    </row>
    <row r="247" spans="1:21" ht="12.75">
      <c r="A247" s="40" t="s">
        <v>1854</v>
      </c>
      <c r="B247" s="29" t="s">
        <v>727</v>
      </c>
      <c r="C247" s="29" t="s">
        <v>638</v>
      </c>
      <c r="D247" s="29" t="s">
        <v>3185</v>
      </c>
      <c r="E247" s="33" t="s">
        <v>1859</v>
      </c>
      <c r="F247" s="30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33"/>
      <c r="T247" s="29"/>
      <c r="U247" s="30"/>
    </row>
    <row r="248" spans="1:21" ht="12.75">
      <c r="A248" s="40" t="s">
        <v>495</v>
      </c>
      <c r="B248" s="29" t="s">
        <v>727</v>
      </c>
      <c r="C248" s="29" t="s">
        <v>649</v>
      </c>
      <c r="D248" s="29" t="s">
        <v>658</v>
      </c>
      <c r="E248" s="33" t="s">
        <v>3060</v>
      </c>
      <c r="F248" s="30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33"/>
      <c r="T248" s="29"/>
      <c r="U248" s="30"/>
    </row>
    <row r="249" spans="1:21" ht="12.75">
      <c r="A249" s="40" t="s">
        <v>92</v>
      </c>
      <c r="B249" s="29" t="s">
        <v>633</v>
      </c>
      <c r="C249" s="29" t="s">
        <v>1608</v>
      </c>
      <c r="D249" s="29" t="s">
        <v>3186</v>
      </c>
      <c r="E249" s="33" t="s">
        <v>1785</v>
      </c>
      <c r="F249" s="30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33"/>
      <c r="T249" s="29"/>
      <c r="U249" s="30"/>
    </row>
    <row r="250" spans="1:21" ht="12.75">
      <c r="A250" s="40" t="s">
        <v>1861</v>
      </c>
      <c r="B250" s="29" t="s">
        <v>727</v>
      </c>
      <c r="C250" s="29" t="s">
        <v>638</v>
      </c>
      <c r="D250" s="29" t="s">
        <v>3187</v>
      </c>
      <c r="E250" s="33" t="s">
        <v>1867</v>
      </c>
      <c r="F250" s="30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33"/>
      <c r="T250" s="29"/>
      <c r="U250" s="30"/>
    </row>
    <row r="251" spans="1:21" ht="12.75">
      <c r="A251" s="40" t="s">
        <v>1849</v>
      </c>
      <c r="B251" s="29" t="s">
        <v>633</v>
      </c>
      <c r="C251" s="29" t="s">
        <v>638</v>
      </c>
      <c r="D251" s="29" t="s">
        <v>647</v>
      </c>
      <c r="E251" s="33" t="s">
        <v>1853</v>
      </c>
      <c r="F251" s="30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33"/>
      <c r="T251" s="29"/>
      <c r="U251" s="30"/>
    </row>
    <row r="252" spans="1:21" ht="12.75">
      <c r="A252" s="40" t="s">
        <v>1700</v>
      </c>
      <c r="B252" s="29" t="s">
        <v>633</v>
      </c>
      <c r="C252" s="29" t="s">
        <v>606</v>
      </c>
      <c r="D252" s="29" t="s">
        <v>3188</v>
      </c>
      <c r="E252" s="33" t="s">
        <v>1705</v>
      </c>
      <c r="F252" s="30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33"/>
      <c r="T252" s="29"/>
      <c r="U252" s="30"/>
    </row>
    <row r="253" spans="1:21" ht="12.75">
      <c r="A253" s="40" t="s">
        <v>3129</v>
      </c>
      <c r="B253" s="29" t="s">
        <v>633</v>
      </c>
      <c r="C253" s="29" t="s">
        <v>657</v>
      </c>
      <c r="D253" s="29" t="s">
        <v>3189</v>
      </c>
      <c r="E253" s="33" t="s">
        <v>3134</v>
      </c>
      <c r="F253" s="30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33"/>
      <c r="T253" s="29"/>
      <c r="U253" s="30"/>
    </row>
    <row r="254" spans="1:21" ht="12.75">
      <c r="A254" s="33"/>
      <c r="B254" s="29"/>
      <c r="C254" s="29"/>
      <c r="D254" s="29"/>
      <c r="E254" s="30"/>
      <c r="F254" s="30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33"/>
      <c r="T254" s="29"/>
      <c r="U254" s="30"/>
    </row>
    <row r="255" spans="1:21" ht="12.75">
      <c r="A255" s="33"/>
      <c r="B255" s="29"/>
      <c r="C255" s="29"/>
      <c r="D255" s="29"/>
      <c r="E255" s="30"/>
      <c r="F255" s="30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33"/>
      <c r="T255" s="29"/>
      <c r="U255" s="30"/>
    </row>
    <row r="256" spans="1:21" ht="12.75">
      <c r="A256" s="33"/>
      <c r="B256" s="29"/>
      <c r="C256" s="29"/>
      <c r="D256" s="29"/>
      <c r="E256" s="30"/>
      <c r="F256" s="30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33"/>
      <c r="T256" s="29"/>
      <c r="U256" s="30"/>
    </row>
    <row r="257" spans="1:21" ht="12.75">
      <c r="A257" s="33"/>
      <c r="B257" s="29"/>
      <c r="C257" s="29"/>
      <c r="D257" s="29"/>
      <c r="E257" s="30"/>
      <c r="F257" s="30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33"/>
      <c r="T257" s="29"/>
      <c r="U257" s="30"/>
    </row>
    <row r="258" spans="1:21" ht="12.75">
      <c r="A258" s="33"/>
      <c r="B258" s="29"/>
      <c r="C258" s="29"/>
      <c r="D258" s="29"/>
      <c r="E258" s="30"/>
      <c r="F258" s="30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33"/>
      <c r="T258" s="29"/>
      <c r="U258" s="30"/>
    </row>
    <row r="259" spans="1:21" ht="12.75">
      <c r="A259" s="33"/>
      <c r="B259" s="29"/>
      <c r="C259" s="29"/>
      <c r="D259" s="29"/>
      <c r="E259" s="30"/>
      <c r="F259" s="30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33"/>
      <c r="T259" s="29"/>
      <c r="U259" s="30"/>
    </row>
    <row r="260" spans="1:21" ht="12.75">
      <c r="A260" s="33"/>
      <c r="B260" s="29"/>
      <c r="C260" s="29"/>
      <c r="D260" s="29"/>
      <c r="E260" s="30"/>
      <c r="F260" s="30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33"/>
      <c r="T260" s="29"/>
      <c r="U260" s="30"/>
    </row>
    <row r="261" spans="1:21" ht="12.75">
      <c r="A261" s="33"/>
      <c r="B261" s="29"/>
      <c r="C261" s="29"/>
      <c r="D261" s="29"/>
      <c r="E261" s="30"/>
      <c r="F261" s="30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33"/>
      <c r="T261" s="29"/>
      <c r="U261" s="30"/>
    </row>
    <row r="262" spans="1:21" ht="12.75">
      <c r="A262" s="33"/>
      <c r="B262" s="29"/>
      <c r="C262" s="29"/>
      <c r="D262" s="29"/>
      <c r="E262" s="30"/>
      <c r="F262" s="30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33"/>
      <c r="T262" s="29"/>
      <c r="U262" s="30"/>
    </row>
    <row r="263" spans="1:21" ht="12.75">
      <c r="A263" s="33"/>
      <c r="B263" s="29"/>
      <c r="C263" s="29"/>
      <c r="D263" s="29"/>
      <c r="E263" s="30"/>
      <c r="F263" s="30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33"/>
      <c r="T263" s="29"/>
      <c r="U263" s="30"/>
    </row>
    <row r="264" spans="1:21" ht="12.75">
      <c r="A264" s="33"/>
      <c r="B264" s="29"/>
      <c r="C264" s="29"/>
      <c r="D264" s="29"/>
      <c r="E264" s="30"/>
      <c r="F264" s="30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33"/>
      <c r="T264" s="29"/>
      <c r="U264" s="30"/>
    </row>
    <row r="265" spans="1:21" ht="12.75">
      <c r="A265" s="33"/>
      <c r="B265" s="29"/>
      <c r="C265" s="29"/>
      <c r="D265" s="29"/>
      <c r="E265" s="30"/>
      <c r="F265" s="30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33"/>
      <c r="T265" s="29"/>
      <c r="U265" s="30"/>
    </row>
    <row r="266" spans="1:21" ht="12.75">
      <c r="A266" s="33"/>
      <c r="B266" s="29"/>
      <c r="C266" s="29"/>
      <c r="D266" s="29"/>
      <c r="E266" s="30"/>
      <c r="F266" s="30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33"/>
      <c r="T266" s="29"/>
      <c r="U266" s="30"/>
    </row>
    <row r="267" spans="1:21" ht="12.75">
      <c r="A267" s="33"/>
      <c r="B267" s="29"/>
      <c r="C267" s="29"/>
      <c r="D267" s="29"/>
      <c r="E267" s="30"/>
      <c r="F267" s="30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33"/>
      <c r="T267" s="29"/>
      <c r="U267" s="30"/>
    </row>
    <row r="268" spans="1:21" ht="12.75">
      <c r="A268" s="33"/>
      <c r="B268" s="29"/>
      <c r="C268" s="29"/>
      <c r="D268" s="29"/>
      <c r="E268" s="30"/>
      <c r="F268" s="30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33"/>
      <c r="T268" s="29"/>
      <c r="U268" s="30"/>
    </row>
    <row r="269" spans="1:21" ht="12.75">
      <c r="A269" s="33"/>
      <c r="B269" s="29"/>
      <c r="C269" s="29"/>
      <c r="D269" s="29"/>
      <c r="E269" s="30"/>
      <c r="F269" s="30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33"/>
      <c r="T269" s="29"/>
      <c r="U269" s="30"/>
    </row>
  </sheetData>
  <sheetProtection/>
  <mergeCells count="29">
    <mergeCell ref="A1:U3"/>
    <mergeCell ref="A32:T32"/>
    <mergeCell ref="A36:T36"/>
    <mergeCell ref="A42:T42"/>
    <mergeCell ref="A61:T61"/>
    <mergeCell ref="A80:T80"/>
    <mergeCell ref="B4:B5"/>
    <mergeCell ref="A12:T12"/>
    <mergeCell ref="A15:T15"/>
    <mergeCell ref="A18:T18"/>
    <mergeCell ref="F4:F5"/>
    <mergeCell ref="G4:J4"/>
    <mergeCell ref="K4:N4"/>
    <mergeCell ref="A23:T23"/>
    <mergeCell ref="A26:T26"/>
    <mergeCell ref="A29:T29"/>
    <mergeCell ref="O4:R4"/>
    <mergeCell ref="S4:S5"/>
    <mergeCell ref="T4:T5"/>
    <mergeCell ref="A113:T113"/>
    <mergeCell ref="A138:T138"/>
    <mergeCell ref="A156:T156"/>
    <mergeCell ref="U4:U5"/>
    <mergeCell ref="A6:T6"/>
    <mergeCell ref="A9:T9"/>
    <mergeCell ref="A4:A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0"/>
  <sheetViews>
    <sheetView zoomScalePageLayoutView="0" workbookViewId="0" topLeftCell="A1">
      <selection activeCell="A1" sqref="A1:M3"/>
    </sheetView>
  </sheetViews>
  <sheetFormatPr defaultColWidth="11.375" defaultRowHeight="12.75"/>
  <cols>
    <col min="1" max="1" width="24.125" style="0" customWidth="1"/>
    <col min="2" max="2" width="26.25390625" style="0" customWidth="1"/>
    <col min="3" max="3" width="15.875" style="0" customWidth="1"/>
    <col min="4" max="5" width="11.375" style="0" customWidth="1"/>
    <col min="6" max="6" width="31.875" style="0" customWidth="1"/>
    <col min="7" max="7" width="6.625" style="0" customWidth="1"/>
    <col min="8" max="9" width="6.25390625" style="0" customWidth="1"/>
    <col min="10" max="10" width="6.875" style="0" customWidth="1"/>
    <col min="11" max="11" width="8.125" style="0" customWidth="1"/>
    <col min="12" max="12" width="11.375" style="0" customWidth="1"/>
    <col min="13" max="13" width="21.375" style="0" customWidth="1"/>
  </cols>
  <sheetData>
    <row r="1" spans="1:13" ht="57.75" customHeight="1">
      <c r="A1" s="125" t="s">
        <v>2462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12.7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60.75" customHeight="1" thickBo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3" ht="15">
      <c r="A4" s="108" t="s">
        <v>0</v>
      </c>
      <c r="B4" s="110" t="s">
        <v>1482</v>
      </c>
      <c r="C4" s="112" t="s">
        <v>1483</v>
      </c>
      <c r="D4" s="112" t="s">
        <v>8</v>
      </c>
      <c r="E4" s="112" t="s">
        <v>1490</v>
      </c>
      <c r="F4" s="112" t="s">
        <v>1491</v>
      </c>
      <c r="G4" s="120" t="s">
        <v>2</v>
      </c>
      <c r="H4" s="121"/>
      <c r="I4" s="121"/>
      <c r="J4" s="122"/>
      <c r="K4" s="123" t="s">
        <v>4</v>
      </c>
      <c r="L4" s="123" t="s">
        <v>6</v>
      </c>
      <c r="M4" s="118" t="s">
        <v>5</v>
      </c>
    </row>
    <row r="5" spans="1:13" ht="15" thickBot="1">
      <c r="A5" s="109"/>
      <c r="B5" s="111"/>
      <c r="C5" s="111"/>
      <c r="D5" s="111"/>
      <c r="E5" s="111"/>
      <c r="F5" s="111"/>
      <c r="G5" s="28" t="s">
        <v>1585</v>
      </c>
      <c r="H5" s="28" t="s">
        <v>1586</v>
      </c>
      <c r="I5" s="28" t="s">
        <v>1587</v>
      </c>
      <c r="J5" s="28" t="s">
        <v>7</v>
      </c>
      <c r="K5" s="124"/>
      <c r="L5" s="124"/>
      <c r="M5" s="119"/>
    </row>
    <row r="6" spans="1:13" ht="15">
      <c r="A6" s="134" t="s">
        <v>21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4"/>
    </row>
    <row r="7" spans="1:13" ht="12.75">
      <c r="A7" s="7" t="s">
        <v>2019</v>
      </c>
      <c r="B7" s="25" t="s">
        <v>2020</v>
      </c>
      <c r="C7" s="25" t="s">
        <v>2021</v>
      </c>
      <c r="D7" s="25" t="s">
        <v>2022</v>
      </c>
      <c r="E7" s="25" t="s">
        <v>16</v>
      </c>
      <c r="F7" s="25" t="s">
        <v>2023</v>
      </c>
      <c r="G7" s="25" t="s">
        <v>37</v>
      </c>
      <c r="H7" s="25" t="s">
        <v>31</v>
      </c>
      <c r="I7" s="51" t="s">
        <v>1227</v>
      </c>
      <c r="J7" s="51"/>
      <c r="K7" s="25" t="s">
        <v>2024</v>
      </c>
      <c r="L7" s="25" t="s">
        <v>2025</v>
      </c>
      <c r="M7" s="25" t="s">
        <v>2026</v>
      </c>
    </row>
    <row r="8" spans="1:13" ht="12.75">
      <c r="A8" s="9" t="s">
        <v>2027</v>
      </c>
      <c r="B8" s="22" t="s">
        <v>2028</v>
      </c>
      <c r="C8" s="22" t="s">
        <v>184</v>
      </c>
      <c r="D8" s="22" t="s">
        <v>2029</v>
      </c>
      <c r="E8" s="22" t="s">
        <v>2178</v>
      </c>
      <c r="F8" s="22" t="s">
        <v>2030</v>
      </c>
      <c r="G8" s="22" t="s">
        <v>26</v>
      </c>
      <c r="H8" s="22" t="s">
        <v>37</v>
      </c>
      <c r="I8" s="52" t="s">
        <v>168</v>
      </c>
      <c r="J8" s="52"/>
      <c r="K8" s="22" t="s">
        <v>2031</v>
      </c>
      <c r="L8" s="22" t="s">
        <v>2032</v>
      </c>
      <c r="M8" s="22" t="s">
        <v>2033</v>
      </c>
    </row>
    <row r="9" spans="1:13" ht="12.75">
      <c r="A9" s="11" t="s">
        <v>2034</v>
      </c>
      <c r="B9" s="26" t="s">
        <v>2035</v>
      </c>
      <c r="C9" s="26" t="s">
        <v>184</v>
      </c>
      <c r="D9" s="26" t="s">
        <v>2029</v>
      </c>
      <c r="E9" s="26" t="s">
        <v>16</v>
      </c>
      <c r="F9" s="26" t="s">
        <v>1614</v>
      </c>
      <c r="G9" s="26" t="s">
        <v>153</v>
      </c>
      <c r="H9" s="26" t="s">
        <v>185</v>
      </c>
      <c r="I9" s="26" t="s">
        <v>209</v>
      </c>
      <c r="J9" s="53"/>
      <c r="K9" s="26" t="s">
        <v>2036</v>
      </c>
      <c r="L9" s="26" t="s">
        <v>2037</v>
      </c>
      <c r="M9" s="26" t="s">
        <v>27</v>
      </c>
    </row>
    <row r="10" spans="1:1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">
      <c r="A11" s="134" t="s">
        <v>28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4"/>
    </row>
    <row r="12" spans="1:13" ht="12.75">
      <c r="A12" s="7" t="s">
        <v>2038</v>
      </c>
      <c r="B12" s="25" t="s">
        <v>2039</v>
      </c>
      <c r="C12" s="25" t="s">
        <v>2040</v>
      </c>
      <c r="D12" s="25" t="s">
        <v>2041</v>
      </c>
      <c r="E12" s="25" t="s">
        <v>16</v>
      </c>
      <c r="F12" s="25" t="s">
        <v>101</v>
      </c>
      <c r="G12" s="25" t="s">
        <v>144</v>
      </c>
      <c r="H12" s="25" t="s">
        <v>50</v>
      </c>
      <c r="I12" s="51" t="s">
        <v>180</v>
      </c>
      <c r="J12" s="51"/>
      <c r="K12" s="25" t="s">
        <v>2042</v>
      </c>
      <c r="L12" s="25" t="s">
        <v>2043</v>
      </c>
      <c r="M12" s="25" t="s">
        <v>1555</v>
      </c>
    </row>
    <row r="13" spans="1:13" ht="12.75">
      <c r="A13" s="9" t="s">
        <v>1632</v>
      </c>
      <c r="B13" s="22" t="s">
        <v>1633</v>
      </c>
      <c r="C13" s="22" t="s">
        <v>29</v>
      </c>
      <c r="D13" s="22" t="s">
        <v>1634</v>
      </c>
      <c r="E13" s="22" t="s">
        <v>16</v>
      </c>
      <c r="F13" s="22" t="s">
        <v>1492</v>
      </c>
      <c r="G13" s="22" t="s">
        <v>144</v>
      </c>
      <c r="H13" s="52"/>
      <c r="I13" s="52"/>
      <c r="J13" s="52"/>
      <c r="K13" s="22" t="s">
        <v>2044</v>
      </c>
      <c r="L13" s="22" t="s">
        <v>2045</v>
      </c>
      <c r="M13" s="22" t="s">
        <v>1555</v>
      </c>
    </row>
    <row r="14" spans="1:13" ht="12.75">
      <c r="A14" s="9" t="s">
        <v>800</v>
      </c>
      <c r="B14" s="22" t="s">
        <v>801</v>
      </c>
      <c r="C14" s="22" t="s">
        <v>2046</v>
      </c>
      <c r="D14" s="22" t="s">
        <v>2047</v>
      </c>
      <c r="E14" s="22" t="s">
        <v>23</v>
      </c>
      <c r="F14" s="22" t="s">
        <v>1496</v>
      </c>
      <c r="G14" s="22" t="s">
        <v>37</v>
      </c>
      <c r="H14" s="22" t="s">
        <v>168</v>
      </c>
      <c r="I14" s="52" t="s">
        <v>31</v>
      </c>
      <c r="J14" s="52"/>
      <c r="K14" s="22" t="s">
        <v>168</v>
      </c>
      <c r="L14" s="22" t="s">
        <v>2048</v>
      </c>
      <c r="M14" s="22" t="s">
        <v>2049</v>
      </c>
    </row>
    <row r="15" spans="1:13" ht="12.75">
      <c r="A15" s="9" t="s">
        <v>1632</v>
      </c>
      <c r="B15" s="22" t="s">
        <v>1633</v>
      </c>
      <c r="C15" s="22" t="s">
        <v>29</v>
      </c>
      <c r="D15" s="22" t="s">
        <v>1634</v>
      </c>
      <c r="E15" s="22" t="s">
        <v>16</v>
      </c>
      <c r="F15" s="22" t="s">
        <v>1492</v>
      </c>
      <c r="G15" s="52" t="s">
        <v>82</v>
      </c>
      <c r="H15" s="52"/>
      <c r="I15" s="52"/>
      <c r="J15" s="52"/>
      <c r="K15" s="22" t="s">
        <v>2050</v>
      </c>
      <c r="L15" s="22" t="s">
        <v>1636</v>
      </c>
      <c r="M15" s="22" t="s">
        <v>1517</v>
      </c>
    </row>
    <row r="16" spans="1:13" ht="12.75">
      <c r="A16" s="11" t="s">
        <v>2051</v>
      </c>
      <c r="B16" s="26" t="s">
        <v>2052</v>
      </c>
      <c r="C16" s="26" t="s">
        <v>214</v>
      </c>
      <c r="D16" s="26" t="s">
        <v>2053</v>
      </c>
      <c r="E16" s="26" t="s">
        <v>16</v>
      </c>
      <c r="F16" s="26" t="s">
        <v>1492</v>
      </c>
      <c r="G16" s="53" t="s">
        <v>781</v>
      </c>
      <c r="H16" s="53" t="s">
        <v>37</v>
      </c>
      <c r="I16" s="53" t="s">
        <v>168</v>
      </c>
      <c r="J16" s="53"/>
      <c r="K16" s="26" t="s">
        <v>2050</v>
      </c>
      <c r="L16" s="26" t="s">
        <v>1636</v>
      </c>
      <c r="M16" s="26" t="s">
        <v>2054</v>
      </c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134" t="s">
        <v>32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4"/>
    </row>
    <row r="19" spans="1:13" ht="12.75">
      <c r="A19" s="7" t="s">
        <v>2055</v>
      </c>
      <c r="B19" s="25" t="s">
        <v>2056</v>
      </c>
      <c r="C19" s="25" t="s">
        <v>39</v>
      </c>
      <c r="D19" s="25" t="s">
        <v>1645</v>
      </c>
      <c r="E19" s="25" t="s">
        <v>1571</v>
      </c>
      <c r="F19" s="25" t="s">
        <v>1614</v>
      </c>
      <c r="G19" s="51" t="s">
        <v>168</v>
      </c>
      <c r="H19" s="25" t="s">
        <v>168</v>
      </c>
      <c r="I19" s="25" t="s">
        <v>1227</v>
      </c>
      <c r="J19" s="51" t="s">
        <v>144</v>
      </c>
      <c r="K19" s="25" t="s">
        <v>1227</v>
      </c>
      <c r="L19" s="25" t="s">
        <v>2057</v>
      </c>
      <c r="M19" s="25" t="s">
        <v>1860</v>
      </c>
    </row>
    <row r="20" spans="1:13" ht="12.75">
      <c r="A20" s="9" t="s">
        <v>2058</v>
      </c>
      <c r="B20" s="22" t="s">
        <v>2059</v>
      </c>
      <c r="C20" s="22" t="s">
        <v>2060</v>
      </c>
      <c r="D20" s="22" t="s">
        <v>2061</v>
      </c>
      <c r="E20" s="22" t="s">
        <v>10</v>
      </c>
      <c r="F20" s="22" t="s">
        <v>2062</v>
      </c>
      <c r="G20" s="22" t="s">
        <v>26</v>
      </c>
      <c r="H20" s="22" t="s">
        <v>37</v>
      </c>
      <c r="I20" s="22" t="s">
        <v>31</v>
      </c>
      <c r="J20" s="52"/>
      <c r="K20" s="22" t="s">
        <v>2024</v>
      </c>
      <c r="L20" s="22" t="s">
        <v>2063</v>
      </c>
      <c r="M20" s="22" t="s">
        <v>2064</v>
      </c>
    </row>
    <row r="21" spans="1:13" ht="12.75">
      <c r="A21" s="11" t="s">
        <v>1650</v>
      </c>
      <c r="B21" s="26" t="s">
        <v>1651</v>
      </c>
      <c r="C21" s="26" t="s">
        <v>34</v>
      </c>
      <c r="D21" s="26" t="s">
        <v>1652</v>
      </c>
      <c r="E21" s="26" t="s">
        <v>1653</v>
      </c>
      <c r="F21" s="26" t="s">
        <v>1654</v>
      </c>
      <c r="G21" s="26" t="s">
        <v>37</v>
      </c>
      <c r="H21" s="53"/>
      <c r="I21" s="53"/>
      <c r="J21" s="53"/>
      <c r="K21" s="26" t="s">
        <v>2031</v>
      </c>
      <c r="L21" s="26" t="s">
        <v>2065</v>
      </c>
      <c r="M21" s="26" t="s">
        <v>1555</v>
      </c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134" t="s">
        <v>40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4"/>
    </row>
    <row r="24" spans="1:13" ht="12.75">
      <c r="A24" s="7" t="s">
        <v>2066</v>
      </c>
      <c r="B24" s="25" t="s">
        <v>2067</v>
      </c>
      <c r="C24" s="25" t="s">
        <v>253</v>
      </c>
      <c r="D24" s="25" t="s">
        <v>2068</v>
      </c>
      <c r="E24" s="25" t="s">
        <v>16</v>
      </c>
      <c r="F24" s="25" t="s">
        <v>1492</v>
      </c>
      <c r="G24" s="25" t="s">
        <v>50</v>
      </c>
      <c r="H24" s="51" t="s">
        <v>180</v>
      </c>
      <c r="I24" s="51" t="s">
        <v>180</v>
      </c>
      <c r="J24" s="51"/>
      <c r="K24" s="25" t="s">
        <v>2042</v>
      </c>
      <c r="L24" s="25" t="s">
        <v>2069</v>
      </c>
      <c r="M24" s="25" t="s">
        <v>2070</v>
      </c>
    </row>
    <row r="25" spans="1:13" ht="12.75">
      <c r="A25" s="11" t="s">
        <v>2071</v>
      </c>
      <c r="B25" s="26" t="s">
        <v>2072</v>
      </c>
      <c r="C25" s="26" t="s">
        <v>1689</v>
      </c>
      <c r="D25" s="26" t="s">
        <v>2073</v>
      </c>
      <c r="E25" s="26" t="s">
        <v>2074</v>
      </c>
      <c r="F25" s="26" t="s">
        <v>2075</v>
      </c>
      <c r="G25" s="26" t="s">
        <v>20</v>
      </c>
      <c r="H25" s="26" t="s">
        <v>18</v>
      </c>
      <c r="I25" s="53" t="s">
        <v>24</v>
      </c>
      <c r="J25" s="53"/>
      <c r="K25" s="26" t="s">
        <v>2076</v>
      </c>
      <c r="L25" s="26" t="s">
        <v>2077</v>
      </c>
      <c r="M25" s="26" t="s">
        <v>2078</v>
      </c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134" t="s">
        <v>46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4"/>
    </row>
    <row r="28" spans="1:13" ht="12.75">
      <c r="A28" s="7" t="s">
        <v>2079</v>
      </c>
      <c r="B28" s="25" t="s">
        <v>2080</v>
      </c>
      <c r="C28" s="25" t="s">
        <v>928</v>
      </c>
      <c r="D28" s="25" t="s">
        <v>2081</v>
      </c>
      <c r="E28" s="25" t="s">
        <v>2082</v>
      </c>
      <c r="F28" s="25" t="s">
        <v>2083</v>
      </c>
      <c r="G28" s="51" t="s">
        <v>20</v>
      </c>
      <c r="H28" s="25" t="s">
        <v>20</v>
      </c>
      <c r="I28" s="25" t="s">
        <v>2084</v>
      </c>
      <c r="J28" s="25" t="s">
        <v>30</v>
      </c>
      <c r="K28" s="25" t="s">
        <v>2085</v>
      </c>
      <c r="L28" s="25" t="s">
        <v>2086</v>
      </c>
      <c r="M28" s="25" t="s">
        <v>1555</v>
      </c>
    </row>
    <row r="29" spans="1:13" ht="12.75">
      <c r="A29" s="9" t="s">
        <v>2087</v>
      </c>
      <c r="B29" s="22" t="s">
        <v>2088</v>
      </c>
      <c r="C29" s="22" t="s">
        <v>945</v>
      </c>
      <c r="D29" s="22" t="s">
        <v>2089</v>
      </c>
      <c r="E29" s="22" t="s">
        <v>16</v>
      </c>
      <c r="F29" s="22" t="s">
        <v>2090</v>
      </c>
      <c r="G29" s="22" t="s">
        <v>110</v>
      </c>
      <c r="H29" s="52" t="s">
        <v>268</v>
      </c>
      <c r="I29" s="52" t="s">
        <v>268</v>
      </c>
      <c r="J29" s="52"/>
      <c r="K29" s="22" t="s">
        <v>2091</v>
      </c>
      <c r="L29" s="22" t="s">
        <v>2092</v>
      </c>
      <c r="M29" s="22" t="s">
        <v>2093</v>
      </c>
    </row>
    <row r="30" spans="1:13" ht="12.75">
      <c r="A30" s="9" t="s">
        <v>2094</v>
      </c>
      <c r="B30" s="22" t="s">
        <v>2095</v>
      </c>
      <c r="C30" s="22" t="s">
        <v>351</v>
      </c>
      <c r="D30" s="22" t="s">
        <v>2096</v>
      </c>
      <c r="E30" s="22" t="s">
        <v>16</v>
      </c>
      <c r="F30" s="22" t="s">
        <v>2097</v>
      </c>
      <c r="G30" s="22" t="s">
        <v>331</v>
      </c>
      <c r="H30" s="22" t="s">
        <v>45</v>
      </c>
      <c r="I30" s="52" t="s">
        <v>180</v>
      </c>
      <c r="J30" s="52"/>
      <c r="K30" s="22" t="s">
        <v>45</v>
      </c>
      <c r="L30" s="22" t="s">
        <v>2098</v>
      </c>
      <c r="M30" s="22" t="s">
        <v>2099</v>
      </c>
    </row>
    <row r="31" spans="1:13" ht="12.75">
      <c r="A31" s="11" t="s">
        <v>941</v>
      </c>
      <c r="B31" s="26" t="s">
        <v>979</v>
      </c>
      <c r="C31" s="26" t="s">
        <v>2100</v>
      </c>
      <c r="D31" s="26" t="s">
        <v>2101</v>
      </c>
      <c r="E31" s="26" t="s">
        <v>23</v>
      </c>
      <c r="F31" s="26" t="s">
        <v>1496</v>
      </c>
      <c r="G31" s="26" t="s">
        <v>410</v>
      </c>
      <c r="H31" s="53"/>
      <c r="I31" s="53"/>
      <c r="J31" s="53"/>
      <c r="K31" s="26" t="s">
        <v>410</v>
      </c>
      <c r="L31" s="26" t="s">
        <v>2102</v>
      </c>
      <c r="M31" s="26" t="s">
        <v>1555</v>
      </c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134" t="s">
        <v>21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4"/>
    </row>
    <row r="34" spans="1:13" ht="12.75">
      <c r="A34" s="5" t="s">
        <v>2103</v>
      </c>
      <c r="B34" s="54" t="s">
        <v>2104</v>
      </c>
      <c r="C34" s="54" t="s">
        <v>2105</v>
      </c>
      <c r="D34" s="54" t="s">
        <v>2106</v>
      </c>
      <c r="E34" s="54" t="s">
        <v>1571</v>
      </c>
      <c r="F34" s="54" t="s">
        <v>1140</v>
      </c>
      <c r="G34" s="54" t="s">
        <v>59</v>
      </c>
      <c r="H34" s="55" t="s">
        <v>109</v>
      </c>
      <c r="I34" s="55" t="s">
        <v>109</v>
      </c>
      <c r="J34" s="55"/>
      <c r="K34" s="54" t="s">
        <v>2107</v>
      </c>
      <c r="L34" s="54" t="s">
        <v>2108</v>
      </c>
      <c r="M34" s="54" t="s">
        <v>2109</v>
      </c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134" t="s">
        <v>32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4"/>
    </row>
    <row r="37" spans="1:13" ht="12.75">
      <c r="A37" s="7" t="s">
        <v>2110</v>
      </c>
      <c r="B37" s="25" t="s">
        <v>2111</v>
      </c>
      <c r="C37" s="25" t="s">
        <v>2112</v>
      </c>
      <c r="D37" s="25" t="s">
        <v>2113</v>
      </c>
      <c r="E37" s="25" t="s">
        <v>16</v>
      </c>
      <c r="F37" s="25" t="s">
        <v>1614</v>
      </c>
      <c r="G37" s="25" t="s">
        <v>30</v>
      </c>
      <c r="H37" s="51" t="s">
        <v>25</v>
      </c>
      <c r="I37" s="51" t="s">
        <v>25</v>
      </c>
      <c r="J37" s="51"/>
      <c r="K37" s="25" t="s">
        <v>2114</v>
      </c>
      <c r="L37" s="25" t="s">
        <v>2115</v>
      </c>
      <c r="M37" s="25" t="s">
        <v>2116</v>
      </c>
    </row>
    <row r="38" spans="1:13" ht="12.75">
      <c r="A38" s="9" t="s">
        <v>2117</v>
      </c>
      <c r="B38" s="22" t="s">
        <v>2118</v>
      </c>
      <c r="C38" s="22" t="s">
        <v>2119</v>
      </c>
      <c r="D38" s="22" t="s">
        <v>2120</v>
      </c>
      <c r="E38" s="22" t="s">
        <v>16</v>
      </c>
      <c r="F38" s="22" t="s">
        <v>1492</v>
      </c>
      <c r="G38" s="52" t="s">
        <v>144</v>
      </c>
      <c r="H38" s="22" t="s">
        <v>50</v>
      </c>
      <c r="I38" s="52" t="s">
        <v>17</v>
      </c>
      <c r="J38" s="52"/>
      <c r="K38" s="22" t="s">
        <v>2042</v>
      </c>
      <c r="L38" s="22" t="s">
        <v>2121</v>
      </c>
      <c r="M38" s="22" t="s">
        <v>27</v>
      </c>
    </row>
    <row r="39" spans="1:13" ht="12.75">
      <c r="A39" s="9" t="s">
        <v>2122</v>
      </c>
      <c r="B39" s="22" t="s">
        <v>2123</v>
      </c>
      <c r="C39" s="22" t="s">
        <v>1639</v>
      </c>
      <c r="D39" s="22" t="s">
        <v>2124</v>
      </c>
      <c r="E39" s="22" t="s">
        <v>16</v>
      </c>
      <c r="F39" s="22" t="s">
        <v>108</v>
      </c>
      <c r="G39" s="22" t="s">
        <v>35</v>
      </c>
      <c r="H39" s="22" t="s">
        <v>330</v>
      </c>
      <c r="I39" s="52" t="s">
        <v>348</v>
      </c>
      <c r="J39" s="52"/>
      <c r="K39" s="22" t="s">
        <v>330</v>
      </c>
      <c r="L39" s="22" t="s">
        <v>2125</v>
      </c>
      <c r="M39" s="22" t="s">
        <v>27</v>
      </c>
    </row>
    <row r="40" spans="1:13" ht="12.75">
      <c r="A40" s="11" t="s">
        <v>2126</v>
      </c>
      <c r="B40" s="26" t="s">
        <v>2127</v>
      </c>
      <c r="C40" s="26" t="s">
        <v>2128</v>
      </c>
      <c r="D40" s="26" t="s">
        <v>2129</v>
      </c>
      <c r="E40" s="26" t="s">
        <v>1485</v>
      </c>
      <c r="F40" s="26" t="s">
        <v>2130</v>
      </c>
      <c r="G40" s="26" t="s">
        <v>33</v>
      </c>
      <c r="H40" s="26" t="s">
        <v>38</v>
      </c>
      <c r="I40" s="53" t="s">
        <v>35</v>
      </c>
      <c r="J40" s="53"/>
      <c r="K40" s="26" t="s">
        <v>2131</v>
      </c>
      <c r="L40" s="26" t="s">
        <v>2132</v>
      </c>
      <c r="M40" s="26" t="s">
        <v>27</v>
      </c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134" t="s">
        <v>40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4"/>
    </row>
    <row r="43" spans="1:13" ht="12.75">
      <c r="A43" s="7" t="s">
        <v>2133</v>
      </c>
      <c r="B43" s="25" t="s">
        <v>2134</v>
      </c>
      <c r="C43" s="25" t="s">
        <v>306</v>
      </c>
      <c r="D43" s="25" t="s">
        <v>2135</v>
      </c>
      <c r="E43" s="25" t="s">
        <v>16</v>
      </c>
      <c r="F43" s="25" t="s">
        <v>364</v>
      </c>
      <c r="G43" s="25" t="s">
        <v>35</v>
      </c>
      <c r="H43" s="25" t="s">
        <v>2136</v>
      </c>
      <c r="I43" s="51" t="s">
        <v>2137</v>
      </c>
      <c r="J43" s="51"/>
      <c r="K43" s="25" t="s">
        <v>2107</v>
      </c>
      <c r="L43" s="25" t="s">
        <v>2138</v>
      </c>
      <c r="M43" s="25" t="s">
        <v>1555</v>
      </c>
    </row>
    <row r="44" spans="1:13" ht="12.75">
      <c r="A44" s="9" t="s">
        <v>2139</v>
      </c>
      <c r="B44" s="22" t="s">
        <v>2140</v>
      </c>
      <c r="C44" s="22" t="s">
        <v>873</v>
      </c>
      <c r="D44" s="22" t="s">
        <v>2141</v>
      </c>
      <c r="E44" s="22" t="s">
        <v>16</v>
      </c>
      <c r="F44" s="22" t="s">
        <v>316</v>
      </c>
      <c r="G44" s="22" t="s">
        <v>58</v>
      </c>
      <c r="H44" s="22" t="s">
        <v>33</v>
      </c>
      <c r="I44" s="22" t="s">
        <v>38</v>
      </c>
      <c r="J44" s="52"/>
      <c r="K44" s="22" t="s">
        <v>2131</v>
      </c>
      <c r="L44" s="22" t="s">
        <v>2142</v>
      </c>
      <c r="M44" s="22" t="s">
        <v>1555</v>
      </c>
    </row>
    <row r="45" spans="1:13" ht="12.75">
      <c r="A45" s="9" t="s">
        <v>2143</v>
      </c>
      <c r="B45" s="22" t="s">
        <v>2144</v>
      </c>
      <c r="C45" s="22" t="s">
        <v>2145</v>
      </c>
      <c r="D45" s="22" t="s">
        <v>2146</v>
      </c>
      <c r="E45" s="22" t="s">
        <v>16</v>
      </c>
      <c r="F45" s="22" t="s">
        <v>369</v>
      </c>
      <c r="G45" s="22" t="s">
        <v>24</v>
      </c>
      <c r="H45" s="22" t="s">
        <v>25</v>
      </c>
      <c r="I45" s="52" t="s">
        <v>58</v>
      </c>
      <c r="J45" s="52"/>
      <c r="K45" s="22" t="s">
        <v>2147</v>
      </c>
      <c r="L45" s="22" t="s">
        <v>2148</v>
      </c>
      <c r="M45" s="22" t="s">
        <v>1555</v>
      </c>
    </row>
    <row r="46" spans="1:13" ht="12.75">
      <c r="A46" s="9" t="s">
        <v>2149</v>
      </c>
      <c r="B46" s="22" t="s">
        <v>2150</v>
      </c>
      <c r="C46" s="22" t="s">
        <v>328</v>
      </c>
      <c r="D46" s="22" t="s">
        <v>2151</v>
      </c>
      <c r="E46" s="22" t="s">
        <v>16</v>
      </c>
      <c r="F46" s="22" t="s">
        <v>1492</v>
      </c>
      <c r="G46" s="22" t="s">
        <v>48</v>
      </c>
      <c r="H46" s="22" t="s">
        <v>44</v>
      </c>
      <c r="I46" s="22" t="s">
        <v>49</v>
      </c>
      <c r="J46" s="52" t="s">
        <v>317</v>
      </c>
      <c r="K46" s="22" t="s">
        <v>2152</v>
      </c>
      <c r="L46" s="22" t="s">
        <v>2153</v>
      </c>
      <c r="M46" s="22" t="s">
        <v>2154</v>
      </c>
    </row>
    <row r="47" spans="1:13" ht="12.75">
      <c r="A47" s="9" t="s">
        <v>897</v>
      </c>
      <c r="B47" s="22" t="s">
        <v>898</v>
      </c>
      <c r="C47" s="22" t="s">
        <v>899</v>
      </c>
      <c r="D47" s="22" t="s">
        <v>2155</v>
      </c>
      <c r="E47" s="22" t="s">
        <v>16</v>
      </c>
      <c r="F47" s="22" t="s">
        <v>900</v>
      </c>
      <c r="G47" s="22" t="s">
        <v>42</v>
      </c>
      <c r="H47" s="52" t="s">
        <v>399</v>
      </c>
      <c r="I47" s="52" t="s">
        <v>399</v>
      </c>
      <c r="J47" s="52"/>
      <c r="K47" s="22" t="s">
        <v>2156</v>
      </c>
      <c r="L47" s="22" t="s">
        <v>2157</v>
      </c>
      <c r="M47" s="22" t="s">
        <v>27</v>
      </c>
    </row>
    <row r="48" spans="1:13" ht="12.75">
      <c r="A48" s="9" t="s">
        <v>1700</v>
      </c>
      <c r="B48" s="22" t="s">
        <v>1701</v>
      </c>
      <c r="C48" s="22" t="s">
        <v>1702</v>
      </c>
      <c r="D48" s="22" t="s">
        <v>1703</v>
      </c>
      <c r="E48" s="22" t="s">
        <v>23</v>
      </c>
      <c r="F48" s="22" t="s">
        <v>1496</v>
      </c>
      <c r="G48" s="22" t="s">
        <v>225</v>
      </c>
      <c r="H48" s="52"/>
      <c r="I48" s="52"/>
      <c r="J48" s="52"/>
      <c r="K48" s="22" t="s">
        <v>225</v>
      </c>
      <c r="L48" s="22" t="s">
        <v>2158</v>
      </c>
      <c r="M48" s="22" t="s">
        <v>27</v>
      </c>
    </row>
    <row r="49" spans="1:13" ht="12.75">
      <c r="A49" s="9" t="s">
        <v>1700</v>
      </c>
      <c r="B49" s="22" t="s">
        <v>1701</v>
      </c>
      <c r="C49" s="22" t="s">
        <v>1702</v>
      </c>
      <c r="D49" s="22" t="s">
        <v>1703</v>
      </c>
      <c r="E49" s="22" t="s">
        <v>23</v>
      </c>
      <c r="F49" s="22" t="s">
        <v>1496</v>
      </c>
      <c r="G49" s="52" t="s">
        <v>18</v>
      </c>
      <c r="H49" s="52"/>
      <c r="I49" s="52"/>
      <c r="J49" s="52"/>
      <c r="K49" s="22" t="s">
        <v>2050</v>
      </c>
      <c r="L49" s="22" t="s">
        <v>1636</v>
      </c>
      <c r="M49" s="22" t="s">
        <v>1555</v>
      </c>
    </row>
    <row r="50" spans="1:13" ht="12.75">
      <c r="A50" s="9" t="s">
        <v>1706</v>
      </c>
      <c r="B50" s="22" t="s">
        <v>1707</v>
      </c>
      <c r="C50" s="22" t="s">
        <v>1708</v>
      </c>
      <c r="D50" s="22" t="s">
        <v>1709</v>
      </c>
      <c r="E50" s="22" t="s">
        <v>23</v>
      </c>
      <c r="F50" s="22" t="s">
        <v>1496</v>
      </c>
      <c r="G50" s="22" t="s">
        <v>25</v>
      </c>
      <c r="H50" s="52"/>
      <c r="I50" s="52"/>
      <c r="J50" s="52"/>
      <c r="K50" s="22" t="s">
        <v>2147</v>
      </c>
      <c r="L50" s="22" t="s">
        <v>2159</v>
      </c>
      <c r="M50" s="22" t="s">
        <v>1555</v>
      </c>
    </row>
    <row r="51" spans="1:13" ht="12.75">
      <c r="A51" s="11" t="s">
        <v>2160</v>
      </c>
      <c r="B51" s="26" t="s">
        <v>2161</v>
      </c>
      <c r="C51" s="26" t="s">
        <v>899</v>
      </c>
      <c r="D51" s="26" t="s">
        <v>2155</v>
      </c>
      <c r="E51" s="26" t="s">
        <v>16</v>
      </c>
      <c r="F51" s="26" t="s">
        <v>1614</v>
      </c>
      <c r="G51" s="26" t="s">
        <v>18</v>
      </c>
      <c r="H51" s="53" t="s">
        <v>24</v>
      </c>
      <c r="I51" s="53" t="s">
        <v>225</v>
      </c>
      <c r="J51" s="53"/>
      <c r="K51" s="26" t="s">
        <v>2076</v>
      </c>
      <c r="L51" s="26" t="s">
        <v>2162</v>
      </c>
      <c r="M51" s="26" t="s">
        <v>1555</v>
      </c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134" t="s">
        <v>46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4"/>
    </row>
    <row r="54" spans="1:13" ht="12.75">
      <c r="A54" s="7" t="s">
        <v>2163</v>
      </c>
      <c r="B54" s="25" t="s">
        <v>1713</v>
      </c>
      <c r="C54" s="25" t="s">
        <v>60</v>
      </c>
      <c r="D54" s="25" t="s">
        <v>1714</v>
      </c>
      <c r="E54" s="25" t="s">
        <v>23</v>
      </c>
      <c r="F54" s="25" t="s">
        <v>1496</v>
      </c>
      <c r="G54" s="25" t="s">
        <v>20</v>
      </c>
      <c r="H54" s="25" t="s">
        <v>24</v>
      </c>
      <c r="I54" s="25" t="s">
        <v>30</v>
      </c>
      <c r="J54" s="51"/>
      <c r="K54" s="25" t="s">
        <v>2114</v>
      </c>
      <c r="L54" s="25" t="s">
        <v>2164</v>
      </c>
      <c r="M54" s="25" t="s">
        <v>27</v>
      </c>
    </row>
    <row r="55" spans="1:13" ht="12.75">
      <c r="A55" s="9" t="s">
        <v>2165</v>
      </c>
      <c r="B55" s="22" t="s">
        <v>2166</v>
      </c>
      <c r="C55" s="22" t="s">
        <v>60</v>
      </c>
      <c r="D55" s="22" t="s">
        <v>1714</v>
      </c>
      <c r="E55" s="22" t="s">
        <v>16</v>
      </c>
      <c r="F55" s="22" t="s">
        <v>1492</v>
      </c>
      <c r="G55" s="22" t="s">
        <v>99</v>
      </c>
      <c r="H55" s="22" t="s">
        <v>537</v>
      </c>
      <c r="I55" s="52" t="s">
        <v>536</v>
      </c>
      <c r="J55" s="52"/>
      <c r="K55" s="22" t="s">
        <v>537</v>
      </c>
      <c r="L55" s="22" t="s">
        <v>2167</v>
      </c>
      <c r="M55" s="22" t="s">
        <v>27</v>
      </c>
    </row>
    <row r="56" spans="1:13" ht="12.75">
      <c r="A56" s="9" t="s">
        <v>2168</v>
      </c>
      <c r="B56" s="22" t="s">
        <v>2169</v>
      </c>
      <c r="C56" s="22" t="s">
        <v>1738</v>
      </c>
      <c r="D56" s="22" t="s">
        <v>1739</v>
      </c>
      <c r="E56" s="22" t="s">
        <v>16</v>
      </c>
      <c r="F56" s="22" t="s">
        <v>1798</v>
      </c>
      <c r="G56" s="22" t="s">
        <v>38</v>
      </c>
      <c r="H56" s="22" t="s">
        <v>35</v>
      </c>
      <c r="I56" s="22" t="s">
        <v>36</v>
      </c>
      <c r="J56" s="52"/>
      <c r="K56" s="22" t="s">
        <v>2170</v>
      </c>
      <c r="L56" s="22" t="s">
        <v>2171</v>
      </c>
      <c r="M56" s="22" t="s">
        <v>27</v>
      </c>
    </row>
    <row r="57" spans="1:13" ht="12.75">
      <c r="A57" s="9" t="s">
        <v>2172</v>
      </c>
      <c r="B57" s="22" t="s">
        <v>2173</v>
      </c>
      <c r="C57" s="22" t="s">
        <v>81</v>
      </c>
      <c r="D57" s="22" t="s">
        <v>1774</v>
      </c>
      <c r="E57" s="22" t="s">
        <v>23</v>
      </c>
      <c r="F57" s="22" t="s">
        <v>2174</v>
      </c>
      <c r="G57" s="22" t="s">
        <v>49</v>
      </c>
      <c r="H57" s="22" t="s">
        <v>307</v>
      </c>
      <c r="I57" s="22" t="s">
        <v>370</v>
      </c>
      <c r="J57" s="52" t="s">
        <v>411</v>
      </c>
      <c r="K57" s="22" t="s">
        <v>370</v>
      </c>
      <c r="L57" s="22" t="s">
        <v>2175</v>
      </c>
      <c r="M57" s="22" t="s">
        <v>27</v>
      </c>
    </row>
    <row r="58" spans="1:13" ht="12.75">
      <c r="A58" s="9" t="s">
        <v>2176</v>
      </c>
      <c r="B58" s="22" t="s">
        <v>2177</v>
      </c>
      <c r="C58" s="22" t="s">
        <v>90</v>
      </c>
      <c r="D58" s="22" t="s">
        <v>1763</v>
      </c>
      <c r="E58" s="22" t="s">
        <v>2178</v>
      </c>
      <c r="F58" s="22" t="s">
        <v>2062</v>
      </c>
      <c r="G58" s="22" t="s">
        <v>49</v>
      </c>
      <c r="H58" s="22" t="s">
        <v>56</v>
      </c>
      <c r="I58" s="52" t="s">
        <v>370</v>
      </c>
      <c r="J58" s="52"/>
      <c r="K58" s="22" t="s">
        <v>2179</v>
      </c>
      <c r="L58" s="22" t="s">
        <v>2180</v>
      </c>
      <c r="M58" s="22" t="s">
        <v>2181</v>
      </c>
    </row>
    <row r="59" spans="1:13" ht="12.75">
      <c r="A59" s="9" t="s">
        <v>2182</v>
      </c>
      <c r="B59" s="22" t="s">
        <v>2183</v>
      </c>
      <c r="C59" s="22" t="s">
        <v>1663</v>
      </c>
      <c r="D59" s="22" t="s">
        <v>2184</v>
      </c>
      <c r="E59" s="22" t="s">
        <v>16</v>
      </c>
      <c r="F59" s="22" t="s">
        <v>76</v>
      </c>
      <c r="G59" s="22" t="s">
        <v>99</v>
      </c>
      <c r="H59" s="52" t="s">
        <v>536</v>
      </c>
      <c r="I59" s="52" t="s">
        <v>536</v>
      </c>
      <c r="J59" s="52"/>
      <c r="K59" s="22" t="s">
        <v>2185</v>
      </c>
      <c r="L59" s="22" t="s">
        <v>2186</v>
      </c>
      <c r="M59" s="22" t="s">
        <v>27</v>
      </c>
    </row>
    <row r="60" spans="1:13" ht="12.75">
      <c r="A60" s="9" t="s">
        <v>2187</v>
      </c>
      <c r="B60" s="22" t="s">
        <v>2188</v>
      </c>
      <c r="C60" s="22" t="s">
        <v>90</v>
      </c>
      <c r="D60" s="22" t="s">
        <v>1763</v>
      </c>
      <c r="E60" s="22" t="s">
        <v>16</v>
      </c>
      <c r="F60" s="22" t="s">
        <v>108</v>
      </c>
      <c r="G60" s="22" t="s">
        <v>99</v>
      </c>
      <c r="H60" s="52" t="s">
        <v>43</v>
      </c>
      <c r="I60" s="52" t="s">
        <v>43</v>
      </c>
      <c r="J60" s="52"/>
      <c r="K60" s="22" t="s">
        <v>2185</v>
      </c>
      <c r="L60" s="22" t="s">
        <v>2189</v>
      </c>
      <c r="M60" s="22" t="s">
        <v>27</v>
      </c>
    </row>
    <row r="61" spans="1:13" ht="12.75">
      <c r="A61" s="9" t="s">
        <v>971</v>
      </c>
      <c r="B61" s="22" t="s">
        <v>972</v>
      </c>
      <c r="C61" s="22" t="s">
        <v>934</v>
      </c>
      <c r="D61" s="22" t="s">
        <v>2190</v>
      </c>
      <c r="E61" s="22" t="s">
        <v>16</v>
      </c>
      <c r="F61" s="22" t="s">
        <v>1492</v>
      </c>
      <c r="G61" s="52" t="s">
        <v>189</v>
      </c>
      <c r="H61" s="22" t="s">
        <v>189</v>
      </c>
      <c r="I61" s="52" t="s">
        <v>36</v>
      </c>
      <c r="J61" s="52"/>
      <c r="K61" s="22" t="s">
        <v>189</v>
      </c>
      <c r="L61" s="22" t="s">
        <v>2191</v>
      </c>
      <c r="M61" s="22" t="s">
        <v>2192</v>
      </c>
    </row>
    <row r="62" spans="1:13" ht="12.75">
      <c r="A62" s="9" t="s">
        <v>1593</v>
      </c>
      <c r="B62" s="22" t="s">
        <v>1594</v>
      </c>
      <c r="C62" s="22" t="s">
        <v>1595</v>
      </c>
      <c r="D62" s="22" t="s">
        <v>2193</v>
      </c>
      <c r="E62" s="22" t="s">
        <v>16</v>
      </c>
      <c r="F62" s="22" t="s">
        <v>1492</v>
      </c>
      <c r="G62" s="22" t="s">
        <v>225</v>
      </c>
      <c r="H62" s="52" t="s">
        <v>216</v>
      </c>
      <c r="I62" s="52" t="s">
        <v>25</v>
      </c>
      <c r="J62" s="52"/>
      <c r="K62" s="22" t="s">
        <v>225</v>
      </c>
      <c r="L62" s="22" t="s">
        <v>2194</v>
      </c>
      <c r="M62" s="22" t="s">
        <v>27</v>
      </c>
    </row>
    <row r="63" spans="1:13" ht="12.75">
      <c r="A63" s="9" t="s">
        <v>2195</v>
      </c>
      <c r="B63" s="22" t="s">
        <v>2196</v>
      </c>
      <c r="C63" s="22" t="s">
        <v>1750</v>
      </c>
      <c r="D63" s="22" t="s">
        <v>1751</v>
      </c>
      <c r="E63" s="22" t="s">
        <v>2074</v>
      </c>
      <c r="F63" s="22" t="s">
        <v>2197</v>
      </c>
      <c r="G63" s="22" t="s">
        <v>48</v>
      </c>
      <c r="H63" s="22" t="s">
        <v>309</v>
      </c>
      <c r="I63" s="52" t="s">
        <v>44</v>
      </c>
      <c r="J63" s="52"/>
      <c r="K63" s="22" t="s">
        <v>309</v>
      </c>
      <c r="L63" s="22" t="s">
        <v>2198</v>
      </c>
      <c r="M63" s="22" t="s">
        <v>27</v>
      </c>
    </row>
    <row r="64" spans="1:13" ht="12.75">
      <c r="A64" s="11" t="s">
        <v>2187</v>
      </c>
      <c r="B64" s="26" t="s">
        <v>2199</v>
      </c>
      <c r="C64" s="26" t="s">
        <v>90</v>
      </c>
      <c r="D64" s="26" t="s">
        <v>1763</v>
      </c>
      <c r="E64" s="26" t="s">
        <v>16</v>
      </c>
      <c r="F64" s="26" t="s">
        <v>108</v>
      </c>
      <c r="G64" s="26" t="s">
        <v>99</v>
      </c>
      <c r="H64" s="53" t="s">
        <v>43</v>
      </c>
      <c r="I64" s="53" t="s">
        <v>43</v>
      </c>
      <c r="J64" s="53"/>
      <c r="K64" s="26" t="s">
        <v>2185</v>
      </c>
      <c r="L64" s="26" t="s">
        <v>2200</v>
      </c>
      <c r="M64" s="26" t="s">
        <v>27</v>
      </c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>
      <c r="A66" s="134" t="s">
        <v>94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4"/>
    </row>
    <row r="67" spans="1:13" ht="12.75">
      <c r="A67" s="7" t="s">
        <v>2201</v>
      </c>
      <c r="B67" s="25" t="s">
        <v>2202</v>
      </c>
      <c r="C67" s="25" t="s">
        <v>2203</v>
      </c>
      <c r="D67" s="25" t="s">
        <v>2204</v>
      </c>
      <c r="E67" s="25" t="s">
        <v>16</v>
      </c>
      <c r="F67" s="25" t="s">
        <v>2097</v>
      </c>
      <c r="G67" s="25" t="s">
        <v>42</v>
      </c>
      <c r="H67" s="51" t="s">
        <v>48</v>
      </c>
      <c r="I67" s="51" t="s">
        <v>44</v>
      </c>
      <c r="J67" s="51"/>
      <c r="K67" s="25" t="s">
        <v>2156</v>
      </c>
      <c r="L67" s="25" t="s">
        <v>2205</v>
      </c>
      <c r="M67" s="25" t="s">
        <v>27</v>
      </c>
    </row>
    <row r="68" spans="1:13" ht="12.75">
      <c r="A68" s="9" t="s">
        <v>2206</v>
      </c>
      <c r="B68" s="22" t="s">
        <v>2207</v>
      </c>
      <c r="C68" s="22" t="s">
        <v>2208</v>
      </c>
      <c r="D68" s="22" t="s">
        <v>2209</v>
      </c>
      <c r="E68" s="22" t="s">
        <v>16</v>
      </c>
      <c r="F68" s="22" t="s">
        <v>101</v>
      </c>
      <c r="G68" s="22" t="s">
        <v>59</v>
      </c>
      <c r="H68" s="52" t="s">
        <v>42</v>
      </c>
      <c r="I68" s="52" t="s">
        <v>42</v>
      </c>
      <c r="J68" s="52"/>
      <c r="K68" s="22" t="s">
        <v>2107</v>
      </c>
      <c r="L68" s="22" t="s">
        <v>2210</v>
      </c>
      <c r="M68" s="22" t="s">
        <v>27</v>
      </c>
    </row>
    <row r="69" spans="1:13" ht="12.75">
      <c r="A69" s="9" t="s">
        <v>2211</v>
      </c>
      <c r="B69" s="22" t="s">
        <v>2212</v>
      </c>
      <c r="C69" s="22" t="s">
        <v>387</v>
      </c>
      <c r="D69" s="22" t="s">
        <v>2213</v>
      </c>
      <c r="E69" s="22" t="s">
        <v>16</v>
      </c>
      <c r="F69" s="22" t="s">
        <v>1140</v>
      </c>
      <c r="G69" s="22" t="s">
        <v>20</v>
      </c>
      <c r="H69" s="22" t="s">
        <v>24</v>
      </c>
      <c r="I69" s="22" t="s">
        <v>30</v>
      </c>
      <c r="J69" s="52"/>
      <c r="K69" s="22" t="s">
        <v>2114</v>
      </c>
      <c r="L69" s="22" t="s">
        <v>2214</v>
      </c>
      <c r="M69" s="22" t="s">
        <v>2215</v>
      </c>
    </row>
    <row r="70" spans="1:13" ht="12.75">
      <c r="A70" s="9" t="s">
        <v>2201</v>
      </c>
      <c r="B70" s="22" t="s">
        <v>2202</v>
      </c>
      <c r="C70" s="22" t="s">
        <v>2203</v>
      </c>
      <c r="D70" s="22" t="s">
        <v>2204</v>
      </c>
      <c r="E70" s="22" t="s">
        <v>16</v>
      </c>
      <c r="F70" s="22" t="s">
        <v>2097</v>
      </c>
      <c r="G70" s="52" t="s">
        <v>42</v>
      </c>
      <c r="H70" s="52"/>
      <c r="I70" s="52"/>
      <c r="J70" s="52"/>
      <c r="K70" s="22" t="s">
        <v>2050</v>
      </c>
      <c r="L70" s="22" t="s">
        <v>1636</v>
      </c>
      <c r="M70" s="22" t="s">
        <v>2216</v>
      </c>
    </row>
    <row r="71" spans="1:13" ht="12.75">
      <c r="A71" s="9" t="s">
        <v>2217</v>
      </c>
      <c r="B71" s="22" t="s">
        <v>2218</v>
      </c>
      <c r="C71" s="22" t="s">
        <v>2219</v>
      </c>
      <c r="D71" s="22" t="s">
        <v>2220</v>
      </c>
      <c r="E71" s="22" t="s">
        <v>16</v>
      </c>
      <c r="F71" s="22" t="s">
        <v>2221</v>
      </c>
      <c r="G71" s="52" t="s">
        <v>56</v>
      </c>
      <c r="H71" s="22" t="s">
        <v>56</v>
      </c>
      <c r="I71" s="52" t="s">
        <v>88</v>
      </c>
      <c r="J71" s="52"/>
      <c r="K71" s="22" t="s">
        <v>2179</v>
      </c>
      <c r="L71" s="22" t="s">
        <v>2222</v>
      </c>
      <c r="M71" s="22" t="s">
        <v>27</v>
      </c>
    </row>
    <row r="72" spans="1:13" ht="12.75">
      <c r="A72" s="9" t="s">
        <v>2223</v>
      </c>
      <c r="B72" s="22" t="s">
        <v>2224</v>
      </c>
      <c r="C72" s="22" t="s">
        <v>2225</v>
      </c>
      <c r="D72" s="22" t="s">
        <v>2226</v>
      </c>
      <c r="E72" s="22" t="s">
        <v>16</v>
      </c>
      <c r="F72" s="22" t="s">
        <v>2227</v>
      </c>
      <c r="G72" s="52" t="s">
        <v>56</v>
      </c>
      <c r="H72" s="22" t="s">
        <v>56</v>
      </c>
      <c r="I72" s="52" t="s">
        <v>307</v>
      </c>
      <c r="J72" s="52"/>
      <c r="K72" s="22" t="s">
        <v>2179</v>
      </c>
      <c r="L72" s="22" t="s">
        <v>2228</v>
      </c>
      <c r="M72" s="22" t="s">
        <v>1860</v>
      </c>
    </row>
    <row r="73" spans="1:13" ht="12.75">
      <c r="A73" s="9" t="s">
        <v>2229</v>
      </c>
      <c r="B73" s="22" t="s">
        <v>877</v>
      </c>
      <c r="C73" s="22" t="s">
        <v>96</v>
      </c>
      <c r="D73" s="22" t="s">
        <v>1797</v>
      </c>
      <c r="E73" s="22" t="s">
        <v>1484</v>
      </c>
      <c r="F73" s="22" t="s">
        <v>1497</v>
      </c>
      <c r="G73" s="22" t="s">
        <v>44</v>
      </c>
      <c r="H73" s="52" t="s">
        <v>49</v>
      </c>
      <c r="I73" s="52" t="s">
        <v>317</v>
      </c>
      <c r="J73" s="52"/>
      <c r="K73" s="22" t="s">
        <v>2230</v>
      </c>
      <c r="L73" s="22" t="s">
        <v>2231</v>
      </c>
      <c r="M73" s="22" t="s">
        <v>27</v>
      </c>
    </row>
    <row r="74" spans="1:13" ht="12.75">
      <c r="A74" s="9" t="s">
        <v>2232</v>
      </c>
      <c r="B74" s="22" t="s">
        <v>2233</v>
      </c>
      <c r="C74" s="22" t="s">
        <v>2234</v>
      </c>
      <c r="D74" s="22" t="s">
        <v>2235</v>
      </c>
      <c r="E74" s="22" t="s">
        <v>16</v>
      </c>
      <c r="F74" s="22" t="s">
        <v>1492</v>
      </c>
      <c r="G74" s="22" t="s">
        <v>43</v>
      </c>
      <c r="H74" s="22" t="s">
        <v>48</v>
      </c>
      <c r="I74" s="52" t="s">
        <v>283</v>
      </c>
      <c r="J74" s="52"/>
      <c r="K74" s="22" t="s">
        <v>2236</v>
      </c>
      <c r="L74" s="22" t="s">
        <v>2237</v>
      </c>
      <c r="M74" s="22" t="s">
        <v>2238</v>
      </c>
    </row>
    <row r="75" spans="1:13" ht="12.75">
      <c r="A75" s="9" t="s">
        <v>2239</v>
      </c>
      <c r="B75" s="22" t="s">
        <v>2240</v>
      </c>
      <c r="C75" s="22" t="s">
        <v>1370</v>
      </c>
      <c r="D75" s="22" t="s">
        <v>2241</v>
      </c>
      <c r="E75" s="22" t="s">
        <v>1489</v>
      </c>
      <c r="F75" s="22" t="s">
        <v>2242</v>
      </c>
      <c r="G75" s="22" t="s">
        <v>88</v>
      </c>
      <c r="H75" s="22" t="s">
        <v>57</v>
      </c>
      <c r="I75" s="22" t="s">
        <v>352</v>
      </c>
      <c r="J75" s="52" t="s">
        <v>2243</v>
      </c>
      <c r="K75" s="22" t="s">
        <v>352</v>
      </c>
      <c r="L75" s="22" t="s">
        <v>2244</v>
      </c>
      <c r="M75" s="22" t="s">
        <v>27</v>
      </c>
    </row>
    <row r="76" spans="1:13" ht="12.75">
      <c r="A76" s="9" t="s">
        <v>2245</v>
      </c>
      <c r="B76" s="22" t="s">
        <v>2246</v>
      </c>
      <c r="C76" s="22" t="s">
        <v>1856</v>
      </c>
      <c r="D76" s="22" t="s">
        <v>1857</v>
      </c>
      <c r="E76" s="22" t="s">
        <v>16</v>
      </c>
      <c r="F76" s="22" t="s">
        <v>1492</v>
      </c>
      <c r="G76" s="22" t="s">
        <v>88</v>
      </c>
      <c r="H76" s="22" t="s">
        <v>411</v>
      </c>
      <c r="I76" s="52" t="s">
        <v>74</v>
      </c>
      <c r="J76" s="52"/>
      <c r="K76" s="22" t="s">
        <v>411</v>
      </c>
      <c r="L76" s="22" t="s">
        <v>2247</v>
      </c>
      <c r="M76" s="22" t="s">
        <v>27</v>
      </c>
    </row>
    <row r="77" spans="1:13" ht="12.75">
      <c r="A77" s="9" t="s">
        <v>2248</v>
      </c>
      <c r="B77" s="22" t="s">
        <v>2249</v>
      </c>
      <c r="C77" s="22" t="s">
        <v>363</v>
      </c>
      <c r="D77" s="22" t="s">
        <v>2250</v>
      </c>
      <c r="E77" s="22" t="s">
        <v>16</v>
      </c>
      <c r="F77" s="22" t="s">
        <v>1081</v>
      </c>
      <c r="G77" s="22" t="s">
        <v>44</v>
      </c>
      <c r="H77" s="22" t="s">
        <v>88</v>
      </c>
      <c r="I77" s="52" t="s">
        <v>411</v>
      </c>
      <c r="J77" s="52"/>
      <c r="K77" s="22" t="s">
        <v>2251</v>
      </c>
      <c r="L77" s="22" t="s">
        <v>2252</v>
      </c>
      <c r="M77" s="22" t="s">
        <v>27</v>
      </c>
    </row>
    <row r="78" spans="1:13" ht="12.75">
      <c r="A78" s="9" t="s">
        <v>2253</v>
      </c>
      <c r="B78" s="22" t="s">
        <v>2254</v>
      </c>
      <c r="C78" s="22" t="s">
        <v>2208</v>
      </c>
      <c r="D78" s="22" t="s">
        <v>2209</v>
      </c>
      <c r="E78" s="22" t="s">
        <v>78</v>
      </c>
      <c r="F78" s="22" t="s">
        <v>2255</v>
      </c>
      <c r="G78" s="22" t="s">
        <v>44</v>
      </c>
      <c r="H78" s="22" t="s">
        <v>56</v>
      </c>
      <c r="I78" s="52" t="s">
        <v>57</v>
      </c>
      <c r="J78" s="52"/>
      <c r="K78" s="22" t="s">
        <v>2179</v>
      </c>
      <c r="L78" s="22" t="s">
        <v>2256</v>
      </c>
      <c r="M78" s="22" t="s">
        <v>27</v>
      </c>
    </row>
    <row r="79" spans="1:13" ht="12.75">
      <c r="A79" s="9" t="s">
        <v>2257</v>
      </c>
      <c r="B79" s="22" t="s">
        <v>2258</v>
      </c>
      <c r="C79" s="22" t="s">
        <v>396</v>
      </c>
      <c r="D79" s="22" t="s">
        <v>2259</v>
      </c>
      <c r="E79" s="22" t="s">
        <v>1485</v>
      </c>
      <c r="F79" s="22" t="s">
        <v>1496</v>
      </c>
      <c r="G79" s="52" t="s">
        <v>44</v>
      </c>
      <c r="H79" s="22" t="s">
        <v>44</v>
      </c>
      <c r="I79" s="52" t="s">
        <v>317</v>
      </c>
      <c r="J79" s="52"/>
      <c r="K79" s="22" t="s">
        <v>2230</v>
      </c>
      <c r="L79" s="22" t="s">
        <v>2260</v>
      </c>
      <c r="M79" s="22" t="s">
        <v>27</v>
      </c>
    </row>
    <row r="80" spans="1:13" ht="12.75">
      <c r="A80" s="9" t="s">
        <v>2261</v>
      </c>
      <c r="B80" s="22" t="s">
        <v>2262</v>
      </c>
      <c r="C80" s="22" t="s">
        <v>363</v>
      </c>
      <c r="D80" s="22" t="s">
        <v>2250</v>
      </c>
      <c r="E80" s="22" t="s">
        <v>78</v>
      </c>
      <c r="F80" s="22" t="s">
        <v>2263</v>
      </c>
      <c r="G80" s="22" t="s">
        <v>121</v>
      </c>
      <c r="H80" s="22" t="s">
        <v>342</v>
      </c>
      <c r="I80" s="52" t="s">
        <v>283</v>
      </c>
      <c r="J80" s="52"/>
      <c r="K80" s="22" t="s">
        <v>342</v>
      </c>
      <c r="L80" s="22" t="s">
        <v>2264</v>
      </c>
      <c r="M80" s="22" t="s">
        <v>2265</v>
      </c>
    </row>
    <row r="81" spans="1:13" ht="12.75">
      <c r="A81" s="9" t="s">
        <v>2266</v>
      </c>
      <c r="B81" s="22" t="s">
        <v>2267</v>
      </c>
      <c r="C81" s="22" t="s">
        <v>383</v>
      </c>
      <c r="D81" s="22" t="s">
        <v>2268</v>
      </c>
      <c r="E81" s="22" t="s">
        <v>16</v>
      </c>
      <c r="F81" s="22" t="s">
        <v>87</v>
      </c>
      <c r="G81" s="52" t="s">
        <v>109</v>
      </c>
      <c r="H81" s="52" t="s">
        <v>99</v>
      </c>
      <c r="I81" s="22" t="s">
        <v>99</v>
      </c>
      <c r="J81" s="52"/>
      <c r="K81" s="22" t="s">
        <v>2185</v>
      </c>
      <c r="L81" s="22" t="s">
        <v>2269</v>
      </c>
      <c r="M81" s="22" t="s">
        <v>2270</v>
      </c>
    </row>
    <row r="82" spans="1:13" ht="12.75">
      <c r="A82" s="9" t="s">
        <v>2201</v>
      </c>
      <c r="B82" s="22" t="s">
        <v>2271</v>
      </c>
      <c r="C82" s="22" t="s">
        <v>2203</v>
      </c>
      <c r="D82" s="22" t="s">
        <v>2204</v>
      </c>
      <c r="E82" s="22" t="s">
        <v>16</v>
      </c>
      <c r="F82" s="22" t="s">
        <v>2097</v>
      </c>
      <c r="G82" s="22" t="s">
        <v>42</v>
      </c>
      <c r="H82" s="52" t="s">
        <v>48</v>
      </c>
      <c r="I82" s="52" t="s">
        <v>44</v>
      </c>
      <c r="J82" s="52"/>
      <c r="K82" s="22" t="s">
        <v>2156</v>
      </c>
      <c r="L82" s="22" t="s">
        <v>2205</v>
      </c>
      <c r="M82" s="22" t="s">
        <v>27</v>
      </c>
    </row>
    <row r="83" spans="1:13" ht="12.75">
      <c r="A83" s="9" t="s">
        <v>1838</v>
      </c>
      <c r="B83" s="22" t="s">
        <v>1839</v>
      </c>
      <c r="C83" s="22" t="s">
        <v>104</v>
      </c>
      <c r="D83" s="22" t="s">
        <v>1840</v>
      </c>
      <c r="E83" s="22" t="s">
        <v>16</v>
      </c>
      <c r="F83" s="22" t="s">
        <v>1492</v>
      </c>
      <c r="G83" s="22" t="s">
        <v>42</v>
      </c>
      <c r="H83" s="52" t="s">
        <v>43</v>
      </c>
      <c r="I83" s="52" t="s">
        <v>43</v>
      </c>
      <c r="J83" s="52"/>
      <c r="K83" s="22" t="s">
        <v>2156</v>
      </c>
      <c r="L83" s="22" t="s">
        <v>2272</v>
      </c>
      <c r="M83" s="22" t="s">
        <v>27</v>
      </c>
    </row>
    <row r="84" spans="1:13" ht="12.75">
      <c r="A84" s="9" t="s">
        <v>2273</v>
      </c>
      <c r="B84" s="22" t="s">
        <v>2274</v>
      </c>
      <c r="C84" s="22" t="s">
        <v>1009</v>
      </c>
      <c r="D84" s="22" t="s">
        <v>2275</v>
      </c>
      <c r="E84" s="22" t="s">
        <v>16</v>
      </c>
      <c r="F84" s="22" t="s">
        <v>2276</v>
      </c>
      <c r="G84" s="22" t="s">
        <v>33</v>
      </c>
      <c r="H84" s="22" t="s">
        <v>35</v>
      </c>
      <c r="I84" s="52" t="s">
        <v>330</v>
      </c>
      <c r="J84" s="52"/>
      <c r="K84" s="22" t="s">
        <v>2277</v>
      </c>
      <c r="L84" s="22" t="s">
        <v>2278</v>
      </c>
      <c r="M84" s="22" t="s">
        <v>27</v>
      </c>
    </row>
    <row r="85" spans="1:13" ht="12.75">
      <c r="A85" s="9" t="s">
        <v>2279</v>
      </c>
      <c r="B85" s="22" t="s">
        <v>2280</v>
      </c>
      <c r="C85" s="22" t="s">
        <v>2281</v>
      </c>
      <c r="D85" s="22" t="s">
        <v>2282</v>
      </c>
      <c r="E85" s="22" t="s">
        <v>16</v>
      </c>
      <c r="F85" s="22" t="s">
        <v>1492</v>
      </c>
      <c r="G85" s="52" t="s">
        <v>33</v>
      </c>
      <c r="H85" s="22" t="s">
        <v>33</v>
      </c>
      <c r="I85" s="52" t="s">
        <v>330</v>
      </c>
      <c r="J85" s="52"/>
      <c r="K85" s="22" t="s">
        <v>2283</v>
      </c>
      <c r="L85" s="22" t="s">
        <v>2284</v>
      </c>
      <c r="M85" s="22" t="s">
        <v>27</v>
      </c>
    </row>
    <row r="86" spans="1:13" ht="12.75">
      <c r="A86" s="9" t="s">
        <v>2285</v>
      </c>
      <c r="B86" s="22" t="s">
        <v>2286</v>
      </c>
      <c r="C86" s="22" t="s">
        <v>97</v>
      </c>
      <c r="D86" s="22" t="s">
        <v>1788</v>
      </c>
      <c r="E86" s="22" t="s">
        <v>16</v>
      </c>
      <c r="F86" s="22" t="s">
        <v>1492</v>
      </c>
      <c r="G86" s="52"/>
      <c r="H86" s="52"/>
      <c r="I86" s="52"/>
      <c r="J86" s="52"/>
      <c r="K86" s="22" t="s">
        <v>2050</v>
      </c>
      <c r="L86" s="22" t="s">
        <v>1636</v>
      </c>
      <c r="M86" s="22" t="s">
        <v>27</v>
      </c>
    </row>
    <row r="87" spans="1:13" ht="12.75">
      <c r="A87" s="9" t="s">
        <v>2217</v>
      </c>
      <c r="B87" s="22" t="s">
        <v>2287</v>
      </c>
      <c r="C87" s="22" t="s">
        <v>97</v>
      </c>
      <c r="D87" s="22" t="s">
        <v>1788</v>
      </c>
      <c r="E87" s="22" t="s">
        <v>16</v>
      </c>
      <c r="F87" s="22" t="s">
        <v>2221</v>
      </c>
      <c r="G87" s="52"/>
      <c r="H87" s="52"/>
      <c r="I87" s="52"/>
      <c r="J87" s="52"/>
      <c r="K87" s="22" t="s">
        <v>2050</v>
      </c>
      <c r="L87" s="22" t="s">
        <v>1636</v>
      </c>
      <c r="M87" s="22" t="s">
        <v>2288</v>
      </c>
    </row>
    <row r="88" spans="1:13" ht="12.75">
      <c r="A88" s="9" t="s">
        <v>2289</v>
      </c>
      <c r="B88" s="22" t="s">
        <v>2290</v>
      </c>
      <c r="C88" s="22" t="s">
        <v>1038</v>
      </c>
      <c r="D88" s="22" t="s">
        <v>2291</v>
      </c>
      <c r="E88" s="22" t="s">
        <v>16</v>
      </c>
      <c r="F88" s="22" t="s">
        <v>1492</v>
      </c>
      <c r="G88" s="22" t="s">
        <v>48</v>
      </c>
      <c r="H88" s="52" t="s">
        <v>283</v>
      </c>
      <c r="I88" s="52" t="s">
        <v>283</v>
      </c>
      <c r="J88" s="52"/>
      <c r="K88" s="22" t="s">
        <v>2236</v>
      </c>
      <c r="L88" s="22" t="s">
        <v>2292</v>
      </c>
      <c r="M88" s="22" t="s">
        <v>2293</v>
      </c>
    </row>
    <row r="89" spans="1:13" ht="12.75">
      <c r="A89" s="9" t="s">
        <v>2294</v>
      </c>
      <c r="B89" s="22" t="s">
        <v>2295</v>
      </c>
      <c r="C89" s="22" t="s">
        <v>2296</v>
      </c>
      <c r="D89" s="22" t="s">
        <v>2297</v>
      </c>
      <c r="E89" s="22" t="s">
        <v>16</v>
      </c>
      <c r="F89" s="22" t="s">
        <v>2298</v>
      </c>
      <c r="G89" s="22" t="s">
        <v>43</v>
      </c>
      <c r="H89" s="22" t="s">
        <v>121</v>
      </c>
      <c r="I89" s="52" t="s">
        <v>48</v>
      </c>
      <c r="J89" s="52"/>
      <c r="K89" s="22" t="s">
        <v>2299</v>
      </c>
      <c r="L89" s="22" t="s">
        <v>2300</v>
      </c>
      <c r="M89" s="22" t="s">
        <v>27</v>
      </c>
    </row>
    <row r="90" spans="1:13" ht="12.75">
      <c r="A90" s="9" t="s">
        <v>2301</v>
      </c>
      <c r="B90" s="22" t="s">
        <v>2302</v>
      </c>
      <c r="C90" s="22" t="s">
        <v>1856</v>
      </c>
      <c r="D90" s="22" t="s">
        <v>1857</v>
      </c>
      <c r="E90" s="22" t="s">
        <v>16</v>
      </c>
      <c r="F90" s="22" t="s">
        <v>2303</v>
      </c>
      <c r="G90" s="22" t="s">
        <v>99</v>
      </c>
      <c r="H90" s="22" t="s">
        <v>121</v>
      </c>
      <c r="I90" s="52" t="s">
        <v>48</v>
      </c>
      <c r="J90" s="52"/>
      <c r="K90" s="22" t="s">
        <v>2299</v>
      </c>
      <c r="L90" s="22" t="s">
        <v>2304</v>
      </c>
      <c r="M90" s="22" t="s">
        <v>1625</v>
      </c>
    </row>
    <row r="91" spans="1:13" ht="12.75">
      <c r="A91" s="9" t="s">
        <v>1861</v>
      </c>
      <c r="B91" s="22" t="s">
        <v>1862</v>
      </c>
      <c r="C91" s="22" t="s">
        <v>1863</v>
      </c>
      <c r="D91" s="22" t="s">
        <v>1864</v>
      </c>
      <c r="E91" s="22" t="s">
        <v>16</v>
      </c>
      <c r="F91" s="22" t="s">
        <v>2305</v>
      </c>
      <c r="G91" s="22" t="s">
        <v>17</v>
      </c>
      <c r="H91" s="52"/>
      <c r="I91" s="52"/>
      <c r="J91" s="52"/>
      <c r="K91" s="22" t="s">
        <v>2306</v>
      </c>
      <c r="L91" s="22" t="s">
        <v>2307</v>
      </c>
      <c r="M91" s="22" t="s">
        <v>27</v>
      </c>
    </row>
    <row r="92" spans="1:13" ht="12.75">
      <c r="A92" s="11" t="s">
        <v>2308</v>
      </c>
      <c r="B92" s="26" t="s">
        <v>2309</v>
      </c>
      <c r="C92" s="26" t="s">
        <v>95</v>
      </c>
      <c r="D92" s="26" t="s">
        <v>1794</v>
      </c>
      <c r="E92" s="26" t="s">
        <v>16</v>
      </c>
      <c r="F92" s="26" t="s">
        <v>1789</v>
      </c>
      <c r="G92" s="26" t="s">
        <v>209</v>
      </c>
      <c r="H92" s="53" t="s">
        <v>50</v>
      </c>
      <c r="I92" s="53" t="s">
        <v>50</v>
      </c>
      <c r="J92" s="53"/>
      <c r="K92" s="26" t="s">
        <v>2036</v>
      </c>
      <c r="L92" s="26" t="s">
        <v>2310</v>
      </c>
      <c r="M92" s="26" t="s">
        <v>27</v>
      </c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">
      <c r="A94" s="134" t="s">
        <v>111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4"/>
    </row>
    <row r="95" spans="1:13" ht="12.75">
      <c r="A95" s="7" t="s">
        <v>2311</v>
      </c>
      <c r="B95" s="25" t="s">
        <v>2312</v>
      </c>
      <c r="C95" s="25" t="s">
        <v>462</v>
      </c>
      <c r="D95" s="25" t="s">
        <v>1889</v>
      </c>
      <c r="E95" s="25" t="s">
        <v>16</v>
      </c>
      <c r="F95" s="25" t="s">
        <v>325</v>
      </c>
      <c r="G95" s="25" t="s">
        <v>284</v>
      </c>
      <c r="H95" s="51" t="s">
        <v>307</v>
      </c>
      <c r="I95" s="51" t="s">
        <v>307</v>
      </c>
      <c r="J95" s="51"/>
      <c r="K95" s="25" t="s">
        <v>284</v>
      </c>
      <c r="L95" s="25" t="s">
        <v>2313</v>
      </c>
      <c r="M95" s="25" t="s">
        <v>2314</v>
      </c>
    </row>
    <row r="96" spans="1:13" ht="12.75">
      <c r="A96" s="9" t="s">
        <v>2315</v>
      </c>
      <c r="B96" s="22" t="s">
        <v>2316</v>
      </c>
      <c r="C96" s="22" t="s">
        <v>1923</v>
      </c>
      <c r="D96" s="22" t="s">
        <v>1924</v>
      </c>
      <c r="E96" s="22" t="s">
        <v>16</v>
      </c>
      <c r="F96" s="22" t="s">
        <v>1492</v>
      </c>
      <c r="G96" s="22" t="s">
        <v>43</v>
      </c>
      <c r="H96" s="22" t="s">
        <v>121</v>
      </c>
      <c r="I96" s="52" t="s">
        <v>48</v>
      </c>
      <c r="J96" s="52"/>
      <c r="K96" s="22" t="s">
        <v>2299</v>
      </c>
      <c r="L96" s="22" t="s">
        <v>2317</v>
      </c>
      <c r="M96" s="22" t="s">
        <v>27</v>
      </c>
    </row>
    <row r="97" spans="1:13" ht="12.75">
      <c r="A97" s="9" t="s">
        <v>2318</v>
      </c>
      <c r="B97" s="22" t="s">
        <v>2319</v>
      </c>
      <c r="C97" s="22" t="s">
        <v>1930</v>
      </c>
      <c r="D97" s="22" t="s">
        <v>1931</v>
      </c>
      <c r="E97" s="22" t="s">
        <v>16</v>
      </c>
      <c r="F97" s="22" t="s">
        <v>1492</v>
      </c>
      <c r="G97" s="52" t="s">
        <v>43</v>
      </c>
      <c r="H97" s="52" t="s">
        <v>43</v>
      </c>
      <c r="I97" s="22" t="s">
        <v>43</v>
      </c>
      <c r="J97" s="52"/>
      <c r="K97" s="22" t="s">
        <v>2320</v>
      </c>
      <c r="L97" s="22" t="s">
        <v>2321</v>
      </c>
      <c r="M97" s="22" t="s">
        <v>27</v>
      </c>
    </row>
    <row r="98" spans="1:13" ht="12.75">
      <c r="A98" s="9" t="s">
        <v>2322</v>
      </c>
      <c r="B98" s="22" t="s">
        <v>2323</v>
      </c>
      <c r="C98" s="22" t="s">
        <v>1085</v>
      </c>
      <c r="D98" s="22" t="s">
        <v>2324</v>
      </c>
      <c r="E98" s="22" t="s">
        <v>16</v>
      </c>
      <c r="F98" s="22" t="s">
        <v>1300</v>
      </c>
      <c r="G98" s="52" t="s">
        <v>48</v>
      </c>
      <c r="H98" s="52" t="s">
        <v>48</v>
      </c>
      <c r="I98" s="52" t="s">
        <v>48</v>
      </c>
      <c r="J98" s="52"/>
      <c r="K98" s="22" t="s">
        <v>2050</v>
      </c>
      <c r="L98" s="22" t="s">
        <v>1636</v>
      </c>
      <c r="M98" s="22" t="s">
        <v>27</v>
      </c>
    </row>
    <row r="99" spans="1:13" ht="12.75">
      <c r="A99" s="9" t="s">
        <v>2325</v>
      </c>
      <c r="B99" s="22" t="s">
        <v>2326</v>
      </c>
      <c r="C99" s="22" t="s">
        <v>2327</v>
      </c>
      <c r="D99" s="22" t="s">
        <v>2328</v>
      </c>
      <c r="E99" s="22" t="s">
        <v>16</v>
      </c>
      <c r="F99" s="22" t="s">
        <v>1492</v>
      </c>
      <c r="G99" s="22" t="s">
        <v>68</v>
      </c>
      <c r="H99" s="22" t="s">
        <v>313</v>
      </c>
      <c r="I99" s="52" t="s">
        <v>63</v>
      </c>
      <c r="J99" s="52"/>
      <c r="K99" s="22" t="s">
        <v>313</v>
      </c>
      <c r="L99" s="22" t="s">
        <v>2329</v>
      </c>
      <c r="M99" s="22" t="s">
        <v>27</v>
      </c>
    </row>
    <row r="100" spans="1:13" ht="12.75">
      <c r="A100" s="9" t="s">
        <v>2330</v>
      </c>
      <c r="B100" s="22" t="s">
        <v>2331</v>
      </c>
      <c r="C100" s="22" t="s">
        <v>462</v>
      </c>
      <c r="D100" s="22" t="s">
        <v>1889</v>
      </c>
      <c r="E100" s="22" t="s">
        <v>16</v>
      </c>
      <c r="F100" s="22" t="s">
        <v>2332</v>
      </c>
      <c r="G100" s="22" t="s">
        <v>88</v>
      </c>
      <c r="H100" s="22" t="s">
        <v>113</v>
      </c>
      <c r="I100" s="22" t="s">
        <v>468</v>
      </c>
      <c r="J100" s="52"/>
      <c r="K100" s="22" t="s">
        <v>468</v>
      </c>
      <c r="L100" s="22" t="s">
        <v>2333</v>
      </c>
      <c r="M100" s="22" t="s">
        <v>27</v>
      </c>
    </row>
    <row r="101" spans="1:13" ht="12.75">
      <c r="A101" s="9" t="s">
        <v>2334</v>
      </c>
      <c r="B101" s="22" t="s">
        <v>2335</v>
      </c>
      <c r="C101" s="22" t="s">
        <v>482</v>
      </c>
      <c r="D101" s="22" t="s">
        <v>2336</v>
      </c>
      <c r="E101" s="22" t="s">
        <v>2074</v>
      </c>
      <c r="F101" s="22" t="s">
        <v>2337</v>
      </c>
      <c r="G101" s="22" t="s">
        <v>68</v>
      </c>
      <c r="H101" s="52" t="s">
        <v>65</v>
      </c>
      <c r="I101" s="52" t="s">
        <v>313</v>
      </c>
      <c r="J101" s="52"/>
      <c r="K101" s="22" t="s">
        <v>2338</v>
      </c>
      <c r="L101" s="22" t="s">
        <v>2339</v>
      </c>
      <c r="M101" s="22" t="s">
        <v>27</v>
      </c>
    </row>
    <row r="102" spans="1:13" ht="12.75">
      <c r="A102" s="9" t="s">
        <v>2340</v>
      </c>
      <c r="B102" s="22" t="s">
        <v>2341</v>
      </c>
      <c r="C102" s="22" t="s">
        <v>1885</v>
      </c>
      <c r="D102" s="22" t="s">
        <v>1886</v>
      </c>
      <c r="E102" s="22" t="s">
        <v>23</v>
      </c>
      <c r="F102" s="22" t="s">
        <v>1496</v>
      </c>
      <c r="G102" s="22" t="s">
        <v>44</v>
      </c>
      <c r="H102" s="22" t="s">
        <v>317</v>
      </c>
      <c r="I102" s="22" t="s">
        <v>56</v>
      </c>
      <c r="J102" s="52"/>
      <c r="K102" s="22" t="s">
        <v>2179</v>
      </c>
      <c r="L102" s="22" t="s">
        <v>2342</v>
      </c>
      <c r="M102" s="22" t="s">
        <v>27</v>
      </c>
    </row>
    <row r="103" spans="1:13" ht="12.75">
      <c r="A103" s="9" t="s">
        <v>2343</v>
      </c>
      <c r="B103" s="22" t="s">
        <v>2344</v>
      </c>
      <c r="C103" s="22" t="s">
        <v>471</v>
      </c>
      <c r="D103" s="22" t="s">
        <v>2345</v>
      </c>
      <c r="E103" s="22" t="s">
        <v>16</v>
      </c>
      <c r="F103" s="22" t="s">
        <v>2346</v>
      </c>
      <c r="G103" s="22" t="s">
        <v>56</v>
      </c>
      <c r="H103" s="52" t="s">
        <v>57</v>
      </c>
      <c r="I103" s="52" t="s">
        <v>57</v>
      </c>
      <c r="J103" s="52"/>
      <c r="K103" s="22" t="s">
        <v>2179</v>
      </c>
      <c r="L103" s="22" t="s">
        <v>2347</v>
      </c>
      <c r="M103" s="22" t="s">
        <v>27</v>
      </c>
    </row>
    <row r="104" spans="1:13" ht="12.75">
      <c r="A104" s="9" t="s">
        <v>2348</v>
      </c>
      <c r="B104" s="22" t="s">
        <v>2349</v>
      </c>
      <c r="C104" s="22" t="s">
        <v>2350</v>
      </c>
      <c r="D104" s="22" t="s">
        <v>2351</v>
      </c>
      <c r="E104" s="22" t="s">
        <v>16</v>
      </c>
      <c r="F104" s="22" t="s">
        <v>759</v>
      </c>
      <c r="G104" s="22" t="s">
        <v>44</v>
      </c>
      <c r="H104" s="22" t="s">
        <v>56</v>
      </c>
      <c r="I104" s="52" t="s">
        <v>57</v>
      </c>
      <c r="J104" s="52"/>
      <c r="K104" s="22" t="s">
        <v>2179</v>
      </c>
      <c r="L104" s="22" t="s">
        <v>2352</v>
      </c>
      <c r="M104" s="22" t="s">
        <v>27</v>
      </c>
    </row>
    <row r="105" spans="1:13" ht="12.75">
      <c r="A105" s="9" t="s">
        <v>2353</v>
      </c>
      <c r="B105" s="22" t="s">
        <v>2354</v>
      </c>
      <c r="C105" s="22" t="s">
        <v>122</v>
      </c>
      <c r="D105" s="22" t="s">
        <v>1956</v>
      </c>
      <c r="E105" s="22" t="s">
        <v>16</v>
      </c>
      <c r="F105" s="22" t="s">
        <v>55</v>
      </c>
      <c r="G105" s="22" t="s">
        <v>48</v>
      </c>
      <c r="H105" s="22" t="s">
        <v>44</v>
      </c>
      <c r="I105" s="52" t="s">
        <v>56</v>
      </c>
      <c r="J105" s="52"/>
      <c r="K105" s="22" t="s">
        <v>2230</v>
      </c>
      <c r="L105" s="22" t="s">
        <v>2355</v>
      </c>
      <c r="M105" s="22" t="s">
        <v>27</v>
      </c>
    </row>
    <row r="106" spans="1:13" ht="12.75">
      <c r="A106" s="9" t="s">
        <v>2356</v>
      </c>
      <c r="B106" s="22" t="s">
        <v>2357</v>
      </c>
      <c r="C106" s="22" t="s">
        <v>127</v>
      </c>
      <c r="D106" s="22" t="s">
        <v>1917</v>
      </c>
      <c r="E106" s="22" t="s">
        <v>16</v>
      </c>
      <c r="F106" s="22" t="s">
        <v>1533</v>
      </c>
      <c r="G106" s="22" t="s">
        <v>43</v>
      </c>
      <c r="H106" s="22" t="s">
        <v>48</v>
      </c>
      <c r="I106" s="52"/>
      <c r="J106" s="52"/>
      <c r="K106" s="22" t="s">
        <v>2236</v>
      </c>
      <c r="L106" s="22" t="s">
        <v>2358</v>
      </c>
      <c r="M106" s="22" t="s">
        <v>2359</v>
      </c>
    </row>
    <row r="107" spans="1:13" ht="12.75">
      <c r="A107" s="9" t="s">
        <v>2360</v>
      </c>
      <c r="B107" s="22" t="s">
        <v>2361</v>
      </c>
      <c r="C107" s="22" t="s">
        <v>1965</v>
      </c>
      <c r="D107" s="22" t="s">
        <v>1966</v>
      </c>
      <c r="E107" s="22" t="s">
        <v>16</v>
      </c>
      <c r="F107" s="22" t="s">
        <v>1492</v>
      </c>
      <c r="G107" s="22" t="s">
        <v>99</v>
      </c>
      <c r="H107" s="22" t="s">
        <v>121</v>
      </c>
      <c r="I107" s="52" t="s">
        <v>48</v>
      </c>
      <c r="J107" s="52"/>
      <c r="K107" s="22" t="s">
        <v>2299</v>
      </c>
      <c r="L107" s="22" t="s">
        <v>2362</v>
      </c>
      <c r="M107" s="22" t="s">
        <v>27</v>
      </c>
    </row>
    <row r="108" spans="1:13" ht="12.75">
      <c r="A108" s="9" t="s">
        <v>2363</v>
      </c>
      <c r="B108" s="22" t="s">
        <v>2364</v>
      </c>
      <c r="C108" s="22" t="s">
        <v>2365</v>
      </c>
      <c r="D108" s="22" t="s">
        <v>2366</v>
      </c>
      <c r="E108" s="22" t="s">
        <v>23</v>
      </c>
      <c r="F108" s="22" t="s">
        <v>1629</v>
      </c>
      <c r="G108" s="22" t="s">
        <v>43</v>
      </c>
      <c r="H108" s="52" t="s">
        <v>48</v>
      </c>
      <c r="I108" s="52" t="s">
        <v>48</v>
      </c>
      <c r="J108" s="52"/>
      <c r="K108" s="22" t="s">
        <v>2320</v>
      </c>
      <c r="L108" s="22" t="s">
        <v>2367</v>
      </c>
      <c r="M108" s="22" t="s">
        <v>27</v>
      </c>
    </row>
    <row r="109" spans="1:13" ht="12.75">
      <c r="A109" s="9" t="s">
        <v>2368</v>
      </c>
      <c r="B109" s="22" t="s">
        <v>2369</v>
      </c>
      <c r="C109" s="22" t="s">
        <v>2370</v>
      </c>
      <c r="D109" s="22" t="s">
        <v>2371</v>
      </c>
      <c r="E109" s="22" t="s">
        <v>2178</v>
      </c>
      <c r="F109" s="22" t="s">
        <v>2782</v>
      </c>
      <c r="G109" s="22" t="s">
        <v>44</v>
      </c>
      <c r="H109" s="22" t="s">
        <v>49</v>
      </c>
      <c r="I109" s="22" t="s">
        <v>307</v>
      </c>
      <c r="J109" s="52"/>
      <c r="K109" s="22" t="s">
        <v>307</v>
      </c>
      <c r="L109" s="22" t="s">
        <v>2372</v>
      </c>
      <c r="M109" s="22" t="s">
        <v>2373</v>
      </c>
    </row>
    <row r="110" spans="1:13" ht="12.75">
      <c r="A110" s="9" t="s">
        <v>2340</v>
      </c>
      <c r="B110" s="22" t="s">
        <v>2374</v>
      </c>
      <c r="C110" s="22" t="s">
        <v>1885</v>
      </c>
      <c r="D110" s="22" t="s">
        <v>1886</v>
      </c>
      <c r="E110" s="22" t="s">
        <v>23</v>
      </c>
      <c r="F110" s="22" t="s">
        <v>1496</v>
      </c>
      <c r="G110" s="22" t="s">
        <v>44</v>
      </c>
      <c r="H110" s="22" t="s">
        <v>317</v>
      </c>
      <c r="I110" s="22" t="s">
        <v>56</v>
      </c>
      <c r="J110" s="52"/>
      <c r="K110" s="22" t="s">
        <v>2179</v>
      </c>
      <c r="L110" s="22" t="s">
        <v>2375</v>
      </c>
      <c r="M110" s="22" t="s">
        <v>27</v>
      </c>
    </row>
    <row r="111" spans="1:13" ht="12.75">
      <c r="A111" s="9" t="s">
        <v>2376</v>
      </c>
      <c r="B111" s="22" t="s">
        <v>2377</v>
      </c>
      <c r="C111" s="22" t="s">
        <v>2378</v>
      </c>
      <c r="D111" s="22" t="s">
        <v>2379</v>
      </c>
      <c r="E111" s="22" t="s">
        <v>16</v>
      </c>
      <c r="F111" s="22" t="s">
        <v>2380</v>
      </c>
      <c r="G111" s="22" t="s">
        <v>48</v>
      </c>
      <c r="H111" s="22" t="s">
        <v>283</v>
      </c>
      <c r="I111" s="52" t="s">
        <v>56</v>
      </c>
      <c r="J111" s="52"/>
      <c r="K111" s="22" t="s">
        <v>2381</v>
      </c>
      <c r="L111" s="22" t="s">
        <v>2382</v>
      </c>
      <c r="M111" s="22" t="s">
        <v>27</v>
      </c>
    </row>
    <row r="112" spans="1:13" ht="12.75">
      <c r="A112" s="9" t="s">
        <v>2383</v>
      </c>
      <c r="B112" s="22" t="s">
        <v>2384</v>
      </c>
      <c r="C112" s="22" t="s">
        <v>2350</v>
      </c>
      <c r="D112" s="22" t="s">
        <v>2351</v>
      </c>
      <c r="E112" s="22" t="s">
        <v>16</v>
      </c>
      <c r="F112" s="22" t="s">
        <v>76</v>
      </c>
      <c r="G112" s="22" t="s">
        <v>48</v>
      </c>
      <c r="H112" s="22" t="s">
        <v>283</v>
      </c>
      <c r="I112" s="52" t="s">
        <v>44</v>
      </c>
      <c r="J112" s="52"/>
      <c r="K112" s="22" t="s">
        <v>2381</v>
      </c>
      <c r="L112" s="22" t="s">
        <v>2385</v>
      </c>
      <c r="M112" s="22" t="s">
        <v>27</v>
      </c>
    </row>
    <row r="113" spans="1:13" ht="12.75">
      <c r="A113" s="9" t="s">
        <v>2386</v>
      </c>
      <c r="B113" s="22" t="s">
        <v>2387</v>
      </c>
      <c r="C113" s="22" t="s">
        <v>128</v>
      </c>
      <c r="D113" s="22" t="s">
        <v>1911</v>
      </c>
      <c r="E113" s="22" t="s">
        <v>2388</v>
      </c>
      <c r="F113" s="22" t="s">
        <v>2389</v>
      </c>
      <c r="G113" s="52" t="s">
        <v>48</v>
      </c>
      <c r="H113" s="22" t="s">
        <v>48</v>
      </c>
      <c r="I113" s="22" t="s">
        <v>283</v>
      </c>
      <c r="J113" s="22" t="s">
        <v>44</v>
      </c>
      <c r="K113" s="22" t="s">
        <v>2381</v>
      </c>
      <c r="L113" s="22" t="s">
        <v>2390</v>
      </c>
      <c r="M113" s="22" t="s">
        <v>27</v>
      </c>
    </row>
    <row r="114" spans="1:13" ht="12.75">
      <c r="A114" s="9" t="s">
        <v>2391</v>
      </c>
      <c r="B114" s="22" t="s">
        <v>2392</v>
      </c>
      <c r="C114" s="22" t="s">
        <v>435</v>
      </c>
      <c r="D114" s="22" t="s">
        <v>2393</v>
      </c>
      <c r="E114" s="22" t="s">
        <v>23</v>
      </c>
      <c r="F114" s="22" t="s">
        <v>2130</v>
      </c>
      <c r="G114" s="22" t="s">
        <v>36</v>
      </c>
      <c r="H114" s="22" t="s">
        <v>123</v>
      </c>
      <c r="I114" s="22" t="s">
        <v>348</v>
      </c>
      <c r="J114" s="52"/>
      <c r="K114" s="22" t="s">
        <v>348</v>
      </c>
      <c r="L114" s="22" t="s">
        <v>2394</v>
      </c>
      <c r="M114" s="22" t="s">
        <v>27</v>
      </c>
    </row>
    <row r="115" spans="1:13" ht="12.75">
      <c r="A115" s="9" t="s">
        <v>500</v>
      </c>
      <c r="B115" s="22" t="s">
        <v>501</v>
      </c>
      <c r="C115" s="22" t="s">
        <v>760</v>
      </c>
      <c r="D115" s="22" t="s">
        <v>2395</v>
      </c>
      <c r="E115" s="22" t="s">
        <v>23</v>
      </c>
      <c r="F115" s="22" t="s">
        <v>1496</v>
      </c>
      <c r="G115" s="22" t="s">
        <v>2396</v>
      </c>
      <c r="H115" s="22" t="s">
        <v>59</v>
      </c>
      <c r="I115" s="52" t="s">
        <v>109</v>
      </c>
      <c r="J115" s="52"/>
      <c r="K115" s="22" t="s">
        <v>2107</v>
      </c>
      <c r="L115" s="22" t="s">
        <v>2397</v>
      </c>
      <c r="M115" s="22" t="s">
        <v>27</v>
      </c>
    </row>
    <row r="116" spans="1:13" ht="12.75">
      <c r="A116" s="9" t="s">
        <v>2398</v>
      </c>
      <c r="B116" s="22" t="s">
        <v>2399</v>
      </c>
      <c r="C116" s="22" t="s">
        <v>462</v>
      </c>
      <c r="D116" s="22" t="s">
        <v>1889</v>
      </c>
      <c r="E116" s="22" t="s">
        <v>16</v>
      </c>
      <c r="F116" s="22" t="s">
        <v>2303</v>
      </c>
      <c r="G116" s="22" t="s">
        <v>20</v>
      </c>
      <c r="H116" s="22" t="s">
        <v>24</v>
      </c>
      <c r="I116" s="22" t="s">
        <v>25</v>
      </c>
      <c r="J116" s="52"/>
      <c r="K116" s="22" t="s">
        <v>2147</v>
      </c>
      <c r="L116" s="22" t="s">
        <v>2400</v>
      </c>
      <c r="M116" s="22" t="s">
        <v>27</v>
      </c>
    </row>
    <row r="117" spans="1:13" ht="12.75">
      <c r="A117" s="9" t="s">
        <v>500</v>
      </c>
      <c r="B117" s="22" t="s">
        <v>501</v>
      </c>
      <c r="C117" s="22" t="s">
        <v>1085</v>
      </c>
      <c r="D117" s="22" t="s">
        <v>2324</v>
      </c>
      <c r="E117" s="22" t="s">
        <v>16</v>
      </c>
      <c r="F117" s="22" t="s">
        <v>1496</v>
      </c>
      <c r="G117" s="52" t="s">
        <v>123</v>
      </c>
      <c r="H117" s="52"/>
      <c r="I117" s="52"/>
      <c r="J117" s="52"/>
      <c r="K117" s="22" t="s">
        <v>2050</v>
      </c>
      <c r="L117" s="22" t="s">
        <v>1636</v>
      </c>
      <c r="M117" s="22" t="s">
        <v>27</v>
      </c>
    </row>
    <row r="118" spans="1:13" ht="12.75">
      <c r="A118" s="11" t="s">
        <v>2401</v>
      </c>
      <c r="B118" s="26" t="s">
        <v>2402</v>
      </c>
      <c r="C118" s="26" t="s">
        <v>131</v>
      </c>
      <c r="D118" s="26" t="s">
        <v>1975</v>
      </c>
      <c r="E118" s="26" t="s">
        <v>16</v>
      </c>
      <c r="F118" s="26" t="s">
        <v>364</v>
      </c>
      <c r="G118" s="26" t="s">
        <v>17</v>
      </c>
      <c r="H118" s="26" t="s">
        <v>268</v>
      </c>
      <c r="I118" s="26" t="s">
        <v>20</v>
      </c>
      <c r="J118" s="53"/>
      <c r="K118" s="26" t="s">
        <v>2403</v>
      </c>
      <c r="L118" s="26" t="s">
        <v>2404</v>
      </c>
      <c r="M118" s="26" t="s">
        <v>27</v>
      </c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5">
      <c r="A120" s="134" t="s">
        <v>136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4"/>
    </row>
    <row r="121" spans="1:13" ht="12.75">
      <c r="A121" s="7" t="s">
        <v>2064</v>
      </c>
      <c r="B121" s="25" t="s">
        <v>2405</v>
      </c>
      <c r="C121" s="25" t="s">
        <v>2406</v>
      </c>
      <c r="D121" s="25" t="s">
        <v>2407</v>
      </c>
      <c r="E121" s="25" t="s">
        <v>2178</v>
      </c>
      <c r="F121" s="25" t="s">
        <v>2408</v>
      </c>
      <c r="G121" s="25" t="s">
        <v>49</v>
      </c>
      <c r="H121" s="25" t="s">
        <v>88</v>
      </c>
      <c r="I121" s="25" t="s">
        <v>57</v>
      </c>
      <c r="J121" s="51"/>
      <c r="K121" s="25" t="s">
        <v>2409</v>
      </c>
      <c r="L121" s="25" t="s">
        <v>2410</v>
      </c>
      <c r="M121" s="25" t="s">
        <v>27</v>
      </c>
    </row>
    <row r="122" spans="1:13" ht="12.75">
      <c r="A122" s="9" t="s">
        <v>2411</v>
      </c>
      <c r="B122" s="22" t="s">
        <v>2412</v>
      </c>
      <c r="C122" s="22" t="s">
        <v>1131</v>
      </c>
      <c r="D122" s="22" t="s">
        <v>2413</v>
      </c>
      <c r="E122" s="22" t="s">
        <v>16</v>
      </c>
      <c r="F122" s="22" t="s">
        <v>2414</v>
      </c>
      <c r="G122" s="22" t="s">
        <v>88</v>
      </c>
      <c r="H122" s="22" t="s">
        <v>57</v>
      </c>
      <c r="I122" s="52" t="s">
        <v>74</v>
      </c>
      <c r="J122" s="52"/>
      <c r="K122" s="22" t="s">
        <v>2409</v>
      </c>
      <c r="L122" s="22" t="s">
        <v>2415</v>
      </c>
      <c r="M122" s="22" t="s">
        <v>27</v>
      </c>
    </row>
    <row r="123" spans="1:13" ht="12.75">
      <c r="A123" s="9" t="s">
        <v>2416</v>
      </c>
      <c r="B123" s="22" t="s">
        <v>2417</v>
      </c>
      <c r="C123" s="22" t="s">
        <v>2418</v>
      </c>
      <c r="D123" s="22" t="s">
        <v>2419</v>
      </c>
      <c r="E123" s="22" t="s">
        <v>16</v>
      </c>
      <c r="F123" s="22" t="s">
        <v>316</v>
      </c>
      <c r="G123" s="22" t="s">
        <v>88</v>
      </c>
      <c r="H123" s="52" t="s">
        <v>352</v>
      </c>
      <c r="I123" s="52" t="s">
        <v>352</v>
      </c>
      <c r="J123" s="52"/>
      <c r="K123" s="22" t="s">
        <v>2251</v>
      </c>
      <c r="L123" s="22" t="s">
        <v>2420</v>
      </c>
      <c r="M123" s="22" t="s">
        <v>27</v>
      </c>
    </row>
    <row r="124" spans="1:13" ht="12.75">
      <c r="A124" s="9" t="s">
        <v>2421</v>
      </c>
      <c r="B124" s="22" t="s">
        <v>2422</v>
      </c>
      <c r="C124" s="22" t="s">
        <v>137</v>
      </c>
      <c r="D124" s="22" t="s">
        <v>2423</v>
      </c>
      <c r="E124" s="22" t="s">
        <v>2424</v>
      </c>
      <c r="F124" s="22" t="s">
        <v>2425</v>
      </c>
      <c r="G124" s="22" t="s">
        <v>48</v>
      </c>
      <c r="H124" s="22" t="s">
        <v>44</v>
      </c>
      <c r="I124" s="22" t="s">
        <v>49</v>
      </c>
      <c r="J124" s="52"/>
      <c r="K124" s="22" t="s">
        <v>2152</v>
      </c>
      <c r="L124" s="22" t="s">
        <v>2426</v>
      </c>
      <c r="M124" s="22" t="s">
        <v>27</v>
      </c>
    </row>
    <row r="125" spans="1:13" ht="12.75">
      <c r="A125" s="9" t="s">
        <v>2427</v>
      </c>
      <c r="B125" s="22" t="s">
        <v>2428</v>
      </c>
      <c r="C125" s="22" t="s">
        <v>2429</v>
      </c>
      <c r="D125" s="22" t="s">
        <v>2430</v>
      </c>
      <c r="E125" s="22" t="s">
        <v>16</v>
      </c>
      <c r="F125" s="22" t="s">
        <v>2431</v>
      </c>
      <c r="G125" s="22" t="s">
        <v>48</v>
      </c>
      <c r="H125" s="52" t="s">
        <v>44</v>
      </c>
      <c r="I125" s="52" t="s">
        <v>44</v>
      </c>
      <c r="J125" s="52"/>
      <c r="K125" s="22" t="s">
        <v>2236</v>
      </c>
      <c r="L125" s="22" t="s">
        <v>2432</v>
      </c>
      <c r="M125" s="22" t="s">
        <v>2433</v>
      </c>
    </row>
    <row r="126" spans="1:13" ht="12.75">
      <c r="A126" s="9" t="s">
        <v>2434</v>
      </c>
      <c r="B126" s="22" t="s">
        <v>2435</v>
      </c>
      <c r="C126" s="22" t="s">
        <v>2436</v>
      </c>
      <c r="D126" s="22" t="s">
        <v>2437</v>
      </c>
      <c r="E126" s="22" t="s">
        <v>16</v>
      </c>
      <c r="F126" s="22" t="s">
        <v>76</v>
      </c>
      <c r="G126" s="52" t="s">
        <v>399</v>
      </c>
      <c r="H126" s="22" t="s">
        <v>43</v>
      </c>
      <c r="I126" s="52"/>
      <c r="J126" s="52"/>
      <c r="K126" s="22" t="s">
        <v>2320</v>
      </c>
      <c r="L126" s="22" t="s">
        <v>2438</v>
      </c>
      <c r="M126" s="22" t="s">
        <v>27</v>
      </c>
    </row>
    <row r="127" spans="1:13" ht="12.75">
      <c r="A127" s="9" t="s">
        <v>2439</v>
      </c>
      <c r="B127" s="22" t="s">
        <v>2440</v>
      </c>
      <c r="C127" s="22" t="s">
        <v>2441</v>
      </c>
      <c r="D127" s="22" t="s">
        <v>2442</v>
      </c>
      <c r="E127" s="22" t="s">
        <v>16</v>
      </c>
      <c r="F127" s="22" t="s">
        <v>1492</v>
      </c>
      <c r="G127" s="22" t="s">
        <v>352</v>
      </c>
      <c r="H127" s="52"/>
      <c r="I127" s="52"/>
      <c r="J127" s="52"/>
      <c r="K127" s="22" t="s">
        <v>352</v>
      </c>
      <c r="L127" s="22" t="s">
        <v>2443</v>
      </c>
      <c r="M127" s="22" t="s">
        <v>27</v>
      </c>
    </row>
    <row r="128" spans="1:13" ht="12.75">
      <c r="A128" s="9" t="s">
        <v>2439</v>
      </c>
      <c r="B128" s="22" t="s">
        <v>2440</v>
      </c>
      <c r="C128" s="22" t="s">
        <v>137</v>
      </c>
      <c r="D128" s="22" t="s">
        <v>2423</v>
      </c>
      <c r="E128" s="22" t="s">
        <v>16</v>
      </c>
      <c r="F128" s="22" t="s">
        <v>1492</v>
      </c>
      <c r="G128" s="22" t="s">
        <v>57</v>
      </c>
      <c r="H128" s="22" t="s">
        <v>352</v>
      </c>
      <c r="I128" s="52"/>
      <c r="J128" s="52"/>
      <c r="K128" s="22" t="s">
        <v>352</v>
      </c>
      <c r="L128" s="22" t="s">
        <v>2444</v>
      </c>
      <c r="M128" s="22" t="s">
        <v>27</v>
      </c>
    </row>
    <row r="129" spans="1:13" ht="12.75">
      <c r="A129" s="9" t="s">
        <v>2445</v>
      </c>
      <c r="B129" s="22" t="s">
        <v>2446</v>
      </c>
      <c r="C129" s="22" t="s">
        <v>2447</v>
      </c>
      <c r="D129" s="22" t="s">
        <v>2448</v>
      </c>
      <c r="E129" s="22" t="s">
        <v>16</v>
      </c>
      <c r="F129" s="22" t="s">
        <v>1492</v>
      </c>
      <c r="G129" s="22" t="s">
        <v>35</v>
      </c>
      <c r="H129" s="22" t="s">
        <v>36</v>
      </c>
      <c r="I129" s="52" t="s">
        <v>330</v>
      </c>
      <c r="J129" s="52"/>
      <c r="K129" s="22" t="s">
        <v>2170</v>
      </c>
      <c r="L129" s="22" t="s">
        <v>2449</v>
      </c>
      <c r="M129" s="22" t="s">
        <v>27</v>
      </c>
    </row>
    <row r="130" spans="1:13" ht="12.75">
      <c r="A130" s="9" t="s">
        <v>1149</v>
      </c>
      <c r="B130" s="22" t="s">
        <v>1150</v>
      </c>
      <c r="C130" s="22" t="s">
        <v>2450</v>
      </c>
      <c r="D130" s="22" t="s">
        <v>2451</v>
      </c>
      <c r="E130" s="22" t="s">
        <v>23</v>
      </c>
      <c r="F130" s="22" t="s">
        <v>1496</v>
      </c>
      <c r="G130" s="22" t="s">
        <v>33</v>
      </c>
      <c r="H130" s="52"/>
      <c r="I130" s="52"/>
      <c r="J130" s="52"/>
      <c r="K130" s="22" t="s">
        <v>2283</v>
      </c>
      <c r="L130" s="22" t="s">
        <v>2452</v>
      </c>
      <c r="M130" s="22" t="s">
        <v>27</v>
      </c>
    </row>
    <row r="131" spans="1:13" ht="12.75">
      <c r="A131" s="11" t="s">
        <v>2453</v>
      </c>
      <c r="B131" s="26" t="s">
        <v>2454</v>
      </c>
      <c r="C131" s="26" t="s">
        <v>2450</v>
      </c>
      <c r="D131" s="26" t="s">
        <v>2451</v>
      </c>
      <c r="E131" s="26" t="s">
        <v>16</v>
      </c>
      <c r="F131" s="26" t="s">
        <v>916</v>
      </c>
      <c r="G131" s="26" t="s">
        <v>30</v>
      </c>
      <c r="H131" s="26" t="s">
        <v>58</v>
      </c>
      <c r="I131" s="53" t="s">
        <v>130</v>
      </c>
      <c r="J131" s="53"/>
      <c r="K131" s="26" t="s">
        <v>2455</v>
      </c>
      <c r="L131" s="26" t="s">
        <v>2456</v>
      </c>
      <c r="M131" s="26" t="s">
        <v>27</v>
      </c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5">
      <c r="A133" s="134" t="s">
        <v>136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4"/>
    </row>
    <row r="134" spans="1:13" ht="12.75">
      <c r="A134" s="7" t="s">
        <v>2783</v>
      </c>
      <c r="B134" s="25" t="s">
        <v>2784</v>
      </c>
      <c r="C134" s="25" t="s">
        <v>2785</v>
      </c>
      <c r="D134" s="25" t="s">
        <v>2786</v>
      </c>
      <c r="E134" s="25" t="s">
        <v>2178</v>
      </c>
      <c r="F134" s="25" t="s">
        <v>2408</v>
      </c>
      <c r="G134" s="51" t="s">
        <v>25</v>
      </c>
      <c r="H134" s="25" t="s">
        <v>58</v>
      </c>
      <c r="I134" s="25" t="s">
        <v>38</v>
      </c>
      <c r="J134" s="51"/>
      <c r="K134" s="25" t="s">
        <v>2131</v>
      </c>
      <c r="L134" s="25" t="s">
        <v>2787</v>
      </c>
      <c r="M134" s="25" t="s">
        <v>27</v>
      </c>
    </row>
    <row r="135" spans="1:13" ht="12.75">
      <c r="A135" s="9" t="s">
        <v>2788</v>
      </c>
      <c r="B135" s="22" t="s">
        <v>2789</v>
      </c>
      <c r="C135" s="22" t="s">
        <v>2790</v>
      </c>
      <c r="D135" s="22" t="s">
        <v>2791</v>
      </c>
      <c r="E135" s="22" t="s">
        <v>2957</v>
      </c>
      <c r="F135" s="22" t="s">
        <v>1811</v>
      </c>
      <c r="G135" s="22" t="s">
        <v>88</v>
      </c>
      <c r="H135" s="52" t="s">
        <v>113</v>
      </c>
      <c r="I135" s="22" t="s">
        <v>113</v>
      </c>
      <c r="J135" s="52"/>
      <c r="K135" s="22" t="s">
        <v>2633</v>
      </c>
      <c r="L135" s="22" t="s">
        <v>2792</v>
      </c>
      <c r="M135" s="22" t="s">
        <v>2793</v>
      </c>
    </row>
    <row r="136" spans="1:13" ht="12.75">
      <c r="A136" s="9" t="s">
        <v>2794</v>
      </c>
      <c r="B136" s="22" t="s">
        <v>2795</v>
      </c>
      <c r="C136" s="22" t="s">
        <v>2796</v>
      </c>
      <c r="D136" s="22" t="s">
        <v>2797</v>
      </c>
      <c r="E136" s="22" t="s">
        <v>16</v>
      </c>
      <c r="F136" s="22" t="s">
        <v>1798</v>
      </c>
      <c r="G136" s="22" t="s">
        <v>65</v>
      </c>
      <c r="H136" s="22" t="s">
        <v>79</v>
      </c>
      <c r="I136" s="52" t="s">
        <v>63</v>
      </c>
      <c r="J136" s="52"/>
      <c r="K136" s="22" t="s">
        <v>2642</v>
      </c>
      <c r="L136" s="22" t="s">
        <v>2798</v>
      </c>
      <c r="M136" s="22" t="s">
        <v>27</v>
      </c>
    </row>
    <row r="137" spans="1:13" ht="12.75">
      <c r="A137" s="9" t="s">
        <v>2799</v>
      </c>
      <c r="B137" s="22" t="s">
        <v>1104</v>
      </c>
      <c r="C137" s="22" t="s">
        <v>2800</v>
      </c>
      <c r="D137" s="22" t="s">
        <v>2801</v>
      </c>
      <c r="E137" s="22" t="s">
        <v>16</v>
      </c>
      <c r="F137" s="22" t="s">
        <v>2627</v>
      </c>
      <c r="G137" s="22" t="s">
        <v>74</v>
      </c>
      <c r="H137" s="52" t="s">
        <v>65</v>
      </c>
      <c r="I137" s="52" t="s">
        <v>65</v>
      </c>
      <c r="J137" s="52"/>
      <c r="K137" s="22" t="s">
        <v>2802</v>
      </c>
      <c r="L137" s="22" t="s">
        <v>2803</v>
      </c>
      <c r="M137" s="22" t="s">
        <v>27</v>
      </c>
    </row>
    <row r="138" spans="1:13" ht="12.75">
      <c r="A138" s="9" t="s">
        <v>2439</v>
      </c>
      <c r="B138" s="22" t="s">
        <v>2804</v>
      </c>
      <c r="C138" s="22" t="s">
        <v>137</v>
      </c>
      <c r="D138" s="22" t="s">
        <v>2423</v>
      </c>
      <c r="E138" s="22" t="s">
        <v>16</v>
      </c>
      <c r="F138" s="22" t="s">
        <v>1492</v>
      </c>
      <c r="G138" s="22" t="s">
        <v>57</v>
      </c>
      <c r="H138" s="22" t="s">
        <v>352</v>
      </c>
      <c r="I138" s="52"/>
      <c r="J138" s="52"/>
      <c r="K138" s="22" t="s">
        <v>352</v>
      </c>
      <c r="L138" s="22" t="s">
        <v>2805</v>
      </c>
      <c r="M138" s="22" t="s">
        <v>27</v>
      </c>
    </row>
    <row r="139" spans="1:13" ht="12.75">
      <c r="A139" s="9" t="s">
        <v>2806</v>
      </c>
      <c r="B139" s="22" t="s">
        <v>2807</v>
      </c>
      <c r="C139" s="22" t="s">
        <v>2808</v>
      </c>
      <c r="D139" s="22" t="s">
        <v>2809</v>
      </c>
      <c r="E139" s="22" t="s">
        <v>16</v>
      </c>
      <c r="F139" s="22" t="s">
        <v>2810</v>
      </c>
      <c r="G139" s="22" t="s">
        <v>56</v>
      </c>
      <c r="H139" s="22" t="s">
        <v>57</v>
      </c>
      <c r="I139" s="52" t="s">
        <v>352</v>
      </c>
      <c r="J139" s="52"/>
      <c r="K139" s="22" t="s">
        <v>2409</v>
      </c>
      <c r="L139" s="22" t="s">
        <v>2811</v>
      </c>
      <c r="M139" s="22" t="s">
        <v>27</v>
      </c>
    </row>
    <row r="140" spans="1:13" ht="12.75">
      <c r="A140" s="9" t="s">
        <v>2812</v>
      </c>
      <c r="B140" s="22" t="s">
        <v>2813</v>
      </c>
      <c r="C140" s="22" t="s">
        <v>1131</v>
      </c>
      <c r="D140" s="22" t="s">
        <v>2413</v>
      </c>
      <c r="E140" s="22" t="s">
        <v>16</v>
      </c>
      <c r="F140" s="22" t="s">
        <v>76</v>
      </c>
      <c r="G140" s="22" t="s">
        <v>88</v>
      </c>
      <c r="H140" s="52" t="s">
        <v>352</v>
      </c>
      <c r="I140" s="52" t="s">
        <v>352</v>
      </c>
      <c r="J140" s="52"/>
      <c r="K140" s="22" t="s">
        <v>2251</v>
      </c>
      <c r="L140" s="22" t="s">
        <v>2814</v>
      </c>
      <c r="M140" s="22" t="s">
        <v>27</v>
      </c>
    </row>
    <row r="141" spans="1:13" ht="12.75">
      <c r="A141" s="9" t="s">
        <v>2815</v>
      </c>
      <c r="B141" s="22" t="s">
        <v>2816</v>
      </c>
      <c r="C141" s="22" t="s">
        <v>2817</v>
      </c>
      <c r="D141" s="22" t="s">
        <v>2818</v>
      </c>
      <c r="E141" s="22" t="s">
        <v>16</v>
      </c>
      <c r="F141" s="22" t="s">
        <v>1063</v>
      </c>
      <c r="G141" s="22" t="s">
        <v>49</v>
      </c>
      <c r="H141" s="52" t="s">
        <v>56</v>
      </c>
      <c r="I141" s="22" t="s">
        <v>56</v>
      </c>
      <c r="J141" s="52"/>
      <c r="K141" s="22" t="s">
        <v>2179</v>
      </c>
      <c r="L141" s="22" t="s">
        <v>2819</v>
      </c>
      <c r="M141" s="22" t="s">
        <v>27</v>
      </c>
    </row>
    <row r="142" spans="1:13" ht="12.75">
      <c r="A142" s="9" t="s">
        <v>2820</v>
      </c>
      <c r="B142" s="22" t="s">
        <v>951</v>
      </c>
      <c r="C142" s="22" t="s">
        <v>2821</v>
      </c>
      <c r="D142" s="22" t="s">
        <v>2822</v>
      </c>
      <c r="E142" s="22" t="s">
        <v>16</v>
      </c>
      <c r="F142" s="22" t="s">
        <v>2823</v>
      </c>
      <c r="G142" s="22" t="s">
        <v>48</v>
      </c>
      <c r="H142" s="22" t="s">
        <v>49</v>
      </c>
      <c r="I142" s="52" t="s">
        <v>56</v>
      </c>
      <c r="J142" s="52"/>
      <c r="K142" s="22" t="s">
        <v>2152</v>
      </c>
      <c r="L142" s="22" t="s">
        <v>2824</v>
      </c>
      <c r="M142" s="22" t="s">
        <v>27</v>
      </c>
    </row>
    <row r="143" spans="1:13" ht="12.75">
      <c r="A143" s="9" t="s">
        <v>2679</v>
      </c>
      <c r="B143" s="22" t="s">
        <v>2680</v>
      </c>
      <c r="C143" s="22" t="s">
        <v>540</v>
      </c>
      <c r="D143" s="22" t="s">
        <v>2681</v>
      </c>
      <c r="E143" s="22" t="s">
        <v>1487</v>
      </c>
      <c r="F143" s="22" t="s">
        <v>341</v>
      </c>
      <c r="G143" s="22" t="s">
        <v>44</v>
      </c>
      <c r="H143" s="52"/>
      <c r="I143" s="52"/>
      <c r="J143" s="52"/>
      <c r="K143" s="22" t="s">
        <v>2230</v>
      </c>
      <c r="L143" s="22" t="s">
        <v>2825</v>
      </c>
      <c r="M143" s="22" t="s">
        <v>27</v>
      </c>
    </row>
    <row r="144" spans="1:13" ht="12.75">
      <c r="A144" s="9" t="s">
        <v>2826</v>
      </c>
      <c r="B144" s="22" t="s">
        <v>2827</v>
      </c>
      <c r="C144" s="22" t="s">
        <v>507</v>
      </c>
      <c r="D144" s="22" t="s">
        <v>2828</v>
      </c>
      <c r="E144" s="22" t="s">
        <v>16</v>
      </c>
      <c r="F144" s="22" t="s">
        <v>2829</v>
      </c>
      <c r="G144" s="22" t="s">
        <v>48</v>
      </c>
      <c r="H144" s="22" t="s">
        <v>309</v>
      </c>
      <c r="I144" s="52" t="s">
        <v>284</v>
      </c>
      <c r="J144" s="52"/>
      <c r="K144" s="22" t="s">
        <v>309</v>
      </c>
      <c r="L144" s="22" t="s">
        <v>2830</v>
      </c>
      <c r="M144" s="22" t="s">
        <v>27</v>
      </c>
    </row>
    <row r="145" spans="1:13" ht="12.75">
      <c r="A145" s="9" t="s">
        <v>2672</v>
      </c>
      <c r="B145" s="22" t="s">
        <v>2673</v>
      </c>
      <c r="C145" s="22" t="s">
        <v>2441</v>
      </c>
      <c r="D145" s="22" t="s">
        <v>2442</v>
      </c>
      <c r="E145" s="22" t="s">
        <v>16</v>
      </c>
      <c r="F145" s="22" t="s">
        <v>47</v>
      </c>
      <c r="G145" s="22" t="s">
        <v>399</v>
      </c>
      <c r="H145" s="52"/>
      <c r="I145" s="52"/>
      <c r="J145" s="52"/>
      <c r="K145" s="22" t="s">
        <v>399</v>
      </c>
      <c r="L145" s="22" t="s">
        <v>2831</v>
      </c>
      <c r="M145" s="22" t="s">
        <v>27</v>
      </c>
    </row>
    <row r="146" spans="1:13" ht="12.75">
      <c r="A146" s="9" t="s">
        <v>2832</v>
      </c>
      <c r="B146" s="22" t="s">
        <v>2833</v>
      </c>
      <c r="C146" s="22" t="s">
        <v>2834</v>
      </c>
      <c r="D146" s="22" t="s">
        <v>2835</v>
      </c>
      <c r="E146" s="22" t="s">
        <v>16</v>
      </c>
      <c r="F146" s="22" t="s">
        <v>2836</v>
      </c>
      <c r="G146" s="52" t="s">
        <v>18</v>
      </c>
      <c r="H146" s="52" t="s">
        <v>18</v>
      </c>
      <c r="I146" s="22" t="s">
        <v>18</v>
      </c>
      <c r="J146" s="52"/>
      <c r="K146" s="22" t="s">
        <v>2076</v>
      </c>
      <c r="L146" s="22" t="s">
        <v>2837</v>
      </c>
      <c r="M146" s="22" t="s">
        <v>27</v>
      </c>
    </row>
    <row r="147" spans="1:13" ht="12.75">
      <c r="A147" s="9" t="s">
        <v>2838</v>
      </c>
      <c r="B147" s="22" t="s">
        <v>2839</v>
      </c>
      <c r="C147" s="22" t="s">
        <v>2840</v>
      </c>
      <c r="D147" s="22" t="s">
        <v>2841</v>
      </c>
      <c r="E147" s="22" t="s">
        <v>16</v>
      </c>
      <c r="F147" s="22" t="s">
        <v>759</v>
      </c>
      <c r="G147" s="52" t="s">
        <v>42</v>
      </c>
      <c r="H147" s="52" t="s">
        <v>43</v>
      </c>
      <c r="I147" s="52" t="s">
        <v>43</v>
      </c>
      <c r="J147" s="52"/>
      <c r="K147" s="22" t="s">
        <v>2050</v>
      </c>
      <c r="L147" s="22" t="s">
        <v>1636</v>
      </c>
      <c r="M147" s="22" t="s">
        <v>27</v>
      </c>
    </row>
    <row r="148" spans="1:13" ht="12.75">
      <c r="A148" s="9" t="s">
        <v>2064</v>
      </c>
      <c r="B148" s="22" t="s">
        <v>2405</v>
      </c>
      <c r="C148" s="22" t="s">
        <v>2406</v>
      </c>
      <c r="D148" s="22" t="s">
        <v>2407</v>
      </c>
      <c r="E148" s="22" t="s">
        <v>2178</v>
      </c>
      <c r="F148" s="22" t="s">
        <v>2408</v>
      </c>
      <c r="G148" s="22" t="s">
        <v>49</v>
      </c>
      <c r="H148" s="22" t="s">
        <v>88</v>
      </c>
      <c r="I148" s="22" t="s">
        <v>57</v>
      </c>
      <c r="J148" s="52"/>
      <c r="K148" s="22" t="s">
        <v>2409</v>
      </c>
      <c r="L148" s="22" t="s">
        <v>2410</v>
      </c>
      <c r="M148" s="22" t="s">
        <v>27</v>
      </c>
    </row>
    <row r="149" spans="1:13" ht="12.75">
      <c r="A149" s="9" t="s">
        <v>2411</v>
      </c>
      <c r="B149" s="22" t="s">
        <v>2412</v>
      </c>
      <c r="C149" s="22" t="s">
        <v>1131</v>
      </c>
      <c r="D149" s="22" t="s">
        <v>2413</v>
      </c>
      <c r="E149" s="22" t="s">
        <v>16</v>
      </c>
      <c r="F149" s="22" t="s">
        <v>2414</v>
      </c>
      <c r="G149" s="22" t="s">
        <v>88</v>
      </c>
      <c r="H149" s="22" t="s">
        <v>57</v>
      </c>
      <c r="I149" s="52" t="s">
        <v>74</v>
      </c>
      <c r="J149" s="52"/>
      <c r="K149" s="22" t="s">
        <v>2409</v>
      </c>
      <c r="L149" s="22" t="s">
        <v>2415</v>
      </c>
      <c r="M149" s="22" t="s">
        <v>27</v>
      </c>
    </row>
    <row r="150" spans="1:13" ht="12.75">
      <c r="A150" s="9" t="s">
        <v>2416</v>
      </c>
      <c r="B150" s="22" t="s">
        <v>2417</v>
      </c>
      <c r="C150" s="22" t="s">
        <v>2418</v>
      </c>
      <c r="D150" s="22" t="s">
        <v>2419</v>
      </c>
      <c r="E150" s="22" t="s">
        <v>16</v>
      </c>
      <c r="F150" s="22" t="s">
        <v>316</v>
      </c>
      <c r="G150" s="22" t="s">
        <v>88</v>
      </c>
      <c r="H150" s="52" t="s">
        <v>352</v>
      </c>
      <c r="I150" s="52" t="s">
        <v>352</v>
      </c>
      <c r="J150" s="52"/>
      <c r="K150" s="22" t="s">
        <v>2251</v>
      </c>
      <c r="L150" s="22" t="s">
        <v>2420</v>
      </c>
      <c r="M150" s="22" t="s">
        <v>27</v>
      </c>
    </row>
    <row r="151" spans="1:13" ht="12.75">
      <c r="A151" s="9" t="s">
        <v>2421</v>
      </c>
      <c r="B151" s="22" t="s">
        <v>2422</v>
      </c>
      <c r="C151" s="22" t="s">
        <v>137</v>
      </c>
      <c r="D151" s="22" t="s">
        <v>2423</v>
      </c>
      <c r="E151" s="22" t="s">
        <v>2424</v>
      </c>
      <c r="F151" s="22" t="s">
        <v>2958</v>
      </c>
      <c r="G151" s="22" t="s">
        <v>48</v>
      </c>
      <c r="H151" s="22" t="s">
        <v>44</v>
      </c>
      <c r="I151" s="22" t="s">
        <v>49</v>
      </c>
      <c r="J151" s="52"/>
      <c r="K151" s="22" t="s">
        <v>2152</v>
      </c>
      <c r="L151" s="22" t="s">
        <v>2426</v>
      </c>
      <c r="M151" s="22" t="s">
        <v>27</v>
      </c>
    </row>
    <row r="152" spans="1:13" ht="12.75">
      <c r="A152" s="9" t="s">
        <v>2427</v>
      </c>
      <c r="B152" s="22" t="s">
        <v>2428</v>
      </c>
      <c r="C152" s="22" t="s">
        <v>2429</v>
      </c>
      <c r="D152" s="22" t="s">
        <v>2430</v>
      </c>
      <c r="E152" s="22" t="s">
        <v>16</v>
      </c>
      <c r="F152" s="22" t="s">
        <v>2431</v>
      </c>
      <c r="G152" s="22" t="s">
        <v>48</v>
      </c>
      <c r="H152" s="52" t="s">
        <v>44</v>
      </c>
      <c r="I152" s="52" t="s">
        <v>44</v>
      </c>
      <c r="J152" s="52"/>
      <c r="K152" s="22" t="s">
        <v>2236</v>
      </c>
      <c r="L152" s="22" t="s">
        <v>2432</v>
      </c>
      <c r="M152" s="22" t="s">
        <v>2433</v>
      </c>
    </row>
    <row r="153" spans="1:13" ht="12.75">
      <c r="A153" s="9" t="s">
        <v>2434</v>
      </c>
      <c r="B153" s="22" t="s">
        <v>2435</v>
      </c>
      <c r="C153" s="22" t="s">
        <v>2436</v>
      </c>
      <c r="D153" s="22" t="s">
        <v>2437</v>
      </c>
      <c r="E153" s="22" t="s">
        <v>16</v>
      </c>
      <c r="F153" s="22" t="s">
        <v>76</v>
      </c>
      <c r="G153" s="52" t="s">
        <v>399</v>
      </c>
      <c r="H153" s="22" t="s">
        <v>43</v>
      </c>
      <c r="I153" s="52"/>
      <c r="J153" s="52"/>
      <c r="K153" s="22" t="s">
        <v>2320</v>
      </c>
      <c r="L153" s="22" t="s">
        <v>2438</v>
      </c>
      <c r="M153" s="22" t="s">
        <v>27</v>
      </c>
    </row>
    <row r="154" spans="1:13" ht="12.75">
      <c r="A154" s="9" t="s">
        <v>2439</v>
      </c>
      <c r="B154" s="22" t="s">
        <v>2440</v>
      </c>
      <c r="C154" s="22" t="s">
        <v>137</v>
      </c>
      <c r="D154" s="22" t="s">
        <v>2423</v>
      </c>
      <c r="E154" s="22" t="s">
        <v>16</v>
      </c>
      <c r="F154" s="22" t="s">
        <v>1492</v>
      </c>
      <c r="G154" s="22" t="s">
        <v>57</v>
      </c>
      <c r="H154" s="22" t="s">
        <v>352</v>
      </c>
      <c r="I154" s="52"/>
      <c r="J154" s="52"/>
      <c r="K154" s="22" t="s">
        <v>352</v>
      </c>
      <c r="L154" s="22" t="s">
        <v>2444</v>
      </c>
      <c r="M154" s="22" t="s">
        <v>27</v>
      </c>
    </row>
    <row r="155" spans="1:13" ht="12.75">
      <c r="A155" s="9" t="s">
        <v>2445</v>
      </c>
      <c r="B155" s="22" t="s">
        <v>2446</v>
      </c>
      <c r="C155" s="22" t="s">
        <v>2447</v>
      </c>
      <c r="D155" s="22" t="s">
        <v>2448</v>
      </c>
      <c r="E155" s="22" t="s">
        <v>16</v>
      </c>
      <c r="F155" s="22" t="s">
        <v>1492</v>
      </c>
      <c r="G155" s="22" t="s">
        <v>35</v>
      </c>
      <c r="H155" s="22" t="s">
        <v>36</v>
      </c>
      <c r="I155" s="52" t="s">
        <v>330</v>
      </c>
      <c r="J155" s="52"/>
      <c r="K155" s="22" t="s">
        <v>2170</v>
      </c>
      <c r="L155" s="22" t="s">
        <v>2449</v>
      </c>
      <c r="M155" s="22" t="s">
        <v>27</v>
      </c>
    </row>
    <row r="156" spans="1:13" ht="12.75">
      <c r="A156" s="9" t="s">
        <v>2775</v>
      </c>
      <c r="B156" s="22" t="s">
        <v>2458</v>
      </c>
      <c r="C156" s="22" t="s">
        <v>1139</v>
      </c>
      <c r="D156" s="22" t="s">
        <v>2459</v>
      </c>
      <c r="E156" s="22" t="s">
        <v>23</v>
      </c>
      <c r="F156" s="22" t="s">
        <v>1529</v>
      </c>
      <c r="G156" s="22" t="s">
        <v>130</v>
      </c>
      <c r="H156" s="52"/>
      <c r="I156" s="52"/>
      <c r="J156" s="52"/>
      <c r="K156" s="22" t="s">
        <v>130</v>
      </c>
      <c r="L156" s="22" t="s">
        <v>2842</v>
      </c>
      <c r="M156" s="22" t="s">
        <v>1568</v>
      </c>
    </row>
    <row r="157" spans="1:13" ht="12.75">
      <c r="A157" s="9" t="s">
        <v>1149</v>
      </c>
      <c r="B157" s="22" t="s">
        <v>1150</v>
      </c>
      <c r="C157" s="22" t="s">
        <v>2450</v>
      </c>
      <c r="D157" s="22" t="s">
        <v>2451</v>
      </c>
      <c r="E157" s="22" t="s">
        <v>23</v>
      </c>
      <c r="F157" s="22" t="s">
        <v>1529</v>
      </c>
      <c r="G157" s="22" t="s">
        <v>33</v>
      </c>
      <c r="H157" s="52"/>
      <c r="I157" s="52"/>
      <c r="J157" s="52"/>
      <c r="K157" s="22" t="s">
        <v>2283</v>
      </c>
      <c r="L157" s="22" t="s">
        <v>2452</v>
      </c>
      <c r="M157" s="22" t="s">
        <v>27</v>
      </c>
    </row>
    <row r="158" spans="1:13" ht="12.75">
      <c r="A158" s="11" t="s">
        <v>2453</v>
      </c>
      <c r="B158" s="26" t="s">
        <v>2454</v>
      </c>
      <c r="C158" s="26" t="s">
        <v>2450</v>
      </c>
      <c r="D158" s="26" t="s">
        <v>2451</v>
      </c>
      <c r="E158" s="26" t="s">
        <v>16</v>
      </c>
      <c r="F158" s="26" t="s">
        <v>916</v>
      </c>
      <c r="G158" s="26" t="s">
        <v>30</v>
      </c>
      <c r="H158" s="26" t="s">
        <v>58</v>
      </c>
      <c r="I158" s="53" t="s">
        <v>130</v>
      </c>
      <c r="J158" s="53"/>
      <c r="K158" s="26" t="s">
        <v>2455</v>
      </c>
      <c r="L158" s="26" t="s">
        <v>2456</v>
      </c>
      <c r="M158" s="26" t="s">
        <v>27</v>
      </c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">
      <c r="A160" s="134" t="s">
        <v>138</v>
      </c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4"/>
    </row>
    <row r="161" spans="1:13" ht="12.75">
      <c r="A161" s="7" t="s">
        <v>2843</v>
      </c>
      <c r="B161" s="25" t="s">
        <v>2844</v>
      </c>
      <c r="C161" s="25" t="s">
        <v>2845</v>
      </c>
      <c r="D161" s="25" t="s">
        <v>2846</v>
      </c>
      <c r="E161" s="25" t="s">
        <v>16</v>
      </c>
      <c r="F161" s="25" t="s">
        <v>1532</v>
      </c>
      <c r="G161" s="25" t="s">
        <v>74</v>
      </c>
      <c r="H161" s="25" t="s">
        <v>313</v>
      </c>
      <c r="I161" s="51" t="s">
        <v>66</v>
      </c>
      <c r="J161" s="51"/>
      <c r="K161" s="25" t="s">
        <v>313</v>
      </c>
      <c r="L161" s="25" t="s">
        <v>2847</v>
      </c>
      <c r="M161" s="25" t="s">
        <v>2959</v>
      </c>
    </row>
    <row r="162" spans="1:13" ht="12.75">
      <c r="A162" s="9" t="s">
        <v>2848</v>
      </c>
      <c r="B162" s="22" t="s">
        <v>2849</v>
      </c>
      <c r="C162" s="22" t="s">
        <v>2850</v>
      </c>
      <c r="D162" s="22" t="s">
        <v>2851</v>
      </c>
      <c r="E162" s="22" t="s">
        <v>16</v>
      </c>
      <c r="F162" s="22" t="s">
        <v>2962</v>
      </c>
      <c r="G162" s="22" t="s">
        <v>68</v>
      </c>
      <c r="H162" s="22" t="s">
        <v>79</v>
      </c>
      <c r="I162" s="22" t="s">
        <v>63</v>
      </c>
      <c r="J162" s="52"/>
      <c r="K162" s="22" t="s">
        <v>2511</v>
      </c>
      <c r="L162" s="22" t="s">
        <v>2852</v>
      </c>
      <c r="M162" s="22" t="s">
        <v>2960</v>
      </c>
    </row>
    <row r="163" spans="1:13" ht="12.75">
      <c r="A163" s="9" t="s">
        <v>2853</v>
      </c>
      <c r="B163" s="22" t="s">
        <v>2854</v>
      </c>
      <c r="C163" s="22" t="s">
        <v>574</v>
      </c>
      <c r="D163" s="22" t="s">
        <v>2855</v>
      </c>
      <c r="E163" s="22" t="s">
        <v>16</v>
      </c>
      <c r="F163" s="22" t="s">
        <v>820</v>
      </c>
      <c r="G163" s="22" t="s">
        <v>74</v>
      </c>
      <c r="H163" s="22" t="s">
        <v>65</v>
      </c>
      <c r="I163" s="22" t="s">
        <v>313</v>
      </c>
      <c r="J163" s="52"/>
      <c r="K163" s="22" t="s">
        <v>313</v>
      </c>
      <c r="L163" s="22" t="s">
        <v>2856</v>
      </c>
      <c r="M163" s="22" t="s">
        <v>27</v>
      </c>
    </row>
    <row r="164" spans="1:13" ht="12.75">
      <c r="A164" s="9" t="s">
        <v>2857</v>
      </c>
      <c r="B164" s="22" t="s">
        <v>2858</v>
      </c>
      <c r="C164" s="22" t="s">
        <v>558</v>
      </c>
      <c r="D164" s="22" t="s">
        <v>2859</v>
      </c>
      <c r="E164" s="22" t="s">
        <v>2774</v>
      </c>
      <c r="F164" s="22" t="s">
        <v>2688</v>
      </c>
      <c r="G164" s="22" t="s">
        <v>352</v>
      </c>
      <c r="H164" s="22" t="s">
        <v>468</v>
      </c>
      <c r="I164" s="52" t="s">
        <v>79</v>
      </c>
      <c r="J164" s="52"/>
      <c r="K164" s="22" t="s">
        <v>468</v>
      </c>
      <c r="L164" s="22" t="s">
        <v>2860</v>
      </c>
      <c r="M164" s="22" t="s">
        <v>27</v>
      </c>
    </row>
    <row r="165" spans="1:13" ht="12.75">
      <c r="A165" s="9" t="s">
        <v>2861</v>
      </c>
      <c r="B165" s="22" t="s">
        <v>2862</v>
      </c>
      <c r="C165" s="22" t="s">
        <v>2863</v>
      </c>
      <c r="D165" s="22" t="s">
        <v>2864</v>
      </c>
      <c r="E165" s="22" t="s">
        <v>16</v>
      </c>
      <c r="F165" s="22" t="s">
        <v>2961</v>
      </c>
      <c r="G165" s="22" t="s">
        <v>74</v>
      </c>
      <c r="H165" s="52" t="s">
        <v>313</v>
      </c>
      <c r="I165" s="52" t="s">
        <v>66</v>
      </c>
      <c r="J165" s="52"/>
      <c r="K165" s="22" t="s">
        <v>2802</v>
      </c>
      <c r="L165" s="22" t="s">
        <v>2865</v>
      </c>
      <c r="M165" s="22" t="s">
        <v>27</v>
      </c>
    </row>
    <row r="166" spans="1:13" ht="12.75">
      <c r="A166" s="9" t="s">
        <v>2866</v>
      </c>
      <c r="B166" s="22" t="s">
        <v>2867</v>
      </c>
      <c r="C166" s="22" t="s">
        <v>2868</v>
      </c>
      <c r="D166" s="22" t="s">
        <v>2869</v>
      </c>
      <c r="E166" s="22" t="s">
        <v>16</v>
      </c>
      <c r="F166" s="22" t="s">
        <v>2823</v>
      </c>
      <c r="G166" s="22" t="s">
        <v>56</v>
      </c>
      <c r="H166" s="22" t="s">
        <v>57</v>
      </c>
      <c r="I166" s="52" t="s">
        <v>74</v>
      </c>
      <c r="J166" s="52"/>
      <c r="K166" s="22" t="s">
        <v>2409</v>
      </c>
      <c r="L166" s="22" t="s">
        <v>2870</v>
      </c>
      <c r="M166" s="22" t="s">
        <v>2871</v>
      </c>
    </row>
    <row r="167" spans="1:13" ht="12.75">
      <c r="A167" s="9" t="s">
        <v>2744</v>
      </c>
      <c r="B167" s="22" t="s">
        <v>2745</v>
      </c>
      <c r="C167" s="22" t="s">
        <v>2746</v>
      </c>
      <c r="D167" s="22" t="s">
        <v>2747</v>
      </c>
      <c r="E167" s="22" t="s">
        <v>10</v>
      </c>
      <c r="F167" s="22" t="s">
        <v>2780</v>
      </c>
      <c r="G167" s="22" t="s">
        <v>49</v>
      </c>
      <c r="H167" s="22" t="s">
        <v>307</v>
      </c>
      <c r="I167" s="22" t="s">
        <v>370</v>
      </c>
      <c r="J167" s="52"/>
      <c r="K167" s="22" t="s">
        <v>370</v>
      </c>
      <c r="L167" s="22" t="s">
        <v>2872</v>
      </c>
      <c r="M167" s="22" t="s">
        <v>2781</v>
      </c>
    </row>
    <row r="168" spans="1:13" ht="12.75">
      <c r="A168" s="9" t="s">
        <v>2873</v>
      </c>
      <c r="B168" s="22" t="s">
        <v>2874</v>
      </c>
      <c r="C168" s="22" t="s">
        <v>2875</v>
      </c>
      <c r="D168" s="22" t="s">
        <v>2876</v>
      </c>
      <c r="E168" s="22" t="s">
        <v>16</v>
      </c>
      <c r="F168" s="22" t="s">
        <v>2963</v>
      </c>
      <c r="G168" s="52" t="s">
        <v>56</v>
      </c>
      <c r="H168" s="22" t="s">
        <v>56</v>
      </c>
      <c r="I168" s="52" t="s">
        <v>88</v>
      </c>
      <c r="J168" s="52"/>
      <c r="K168" s="22" t="s">
        <v>2179</v>
      </c>
      <c r="L168" s="22" t="s">
        <v>2877</v>
      </c>
      <c r="M168" s="22" t="s">
        <v>27</v>
      </c>
    </row>
    <row r="169" spans="1:13" ht="12.75">
      <c r="A169" s="9" t="s">
        <v>1166</v>
      </c>
      <c r="B169" s="22" t="s">
        <v>1167</v>
      </c>
      <c r="C169" s="22" t="s">
        <v>2878</v>
      </c>
      <c r="D169" s="22" t="s">
        <v>2879</v>
      </c>
      <c r="E169" s="22" t="s">
        <v>23</v>
      </c>
      <c r="F169" s="22" t="s">
        <v>1496</v>
      </c>
      <c r="G169" s="22" t="s">
        <v>43</v>
      </c>
      <c r="H169" s="52"/>
      <c r="I169" s="52"/>
      <c r="J169" s="52"/>
      <c r="K169" s="22" t="s">
        <v>2320</v>
      </c>
      <c r="L169" s="22" t="s">
        <v>2880</v>
      </c>
      <c r="M169" s="22" t="s">
        <v>1568</v>
      </c>
    </row>
    <row r="170" spans="1:13" ht="12.75">
      <c r="A170" s="9" t="s">
        <v>2881</v>
      </c>
      <c r="B170" s="22" t="s">
        <v>2882</v>
      </c>
      <c r="C170" s="22" t="s">
        <v>2735</v>
      </c>
      <c r="D170" s="22" t="s">
        <v>2736</v>
      </c>
      <c r="E170" s="22" t="s">
        <v>16</v>
      </c>
      <c r="F170" s="22" t="s">
        <v>2571</v>
      </c>
      <c r="G170" s="22" t="s">
        <v>42</v>
      </c>
      <c r="H170" s="22" t="s">
        <v>43</v>
      </c>
      <c r="I170" s="52" t="s">
        <v>121</v>
      </c>
      <c r="J170" s="52"/>
      <c r="K170" s="22" t="s">
        <v>2320</v>
      </c>
      <c r="L170" s="22" t="s">
        <v>2883</v>
      </c>
      <c r="M170" s="22" t="s">
        <v>2884</v>
      </c>
    </row>
    <row r="171" spans="1:13" ht="12.75">
      <c r="A171" s="9" t="s">
        <v>2885</v>
      </c>
      <c r="B171" s="22" t="s">
        <v>1373</v>
      </c>
      <c r="C171" s="22" t="s">
        <v>2886</v>
      </c>
      <c r="D171" s="22" t="s">
        <v>2887</v>
      </c>
      <c r="E171" s="22" t="s">
        <v>16</v>
      </c>
      <c r="F171" s="22" t="s">
        <v>1532</v>
      </c>
      <c r="G171" s="22" t="s">
        <v>99</v>
      </c>
      <c r="H171" s="52" t="s">
        <v>43</v>
      </c>
      <c r="I171" s="52" t="s">
        <v>43</v>
      </c>
      <c r="J171" s="52"/>
      <c r="K171" s="22" t="s">
        <v>2185</v>
      </c>
      <c r="L171" s="22" t="s">
        <v>2888</v>
      </c>
      <c r="M171" s="22" t="s">
        <v>27</v>
      </c>
    </row>
    <row r="172" spans="1:13" ht="12.75">
      <c r="A172" s="9" t="s">
        <v>2853</v>
      </c>
      <c r="B172" s="22" t="s">
        <v>2889</v>
      </c>
      <c r="C172" s="22" t="s">
        <v>574</v>
      </c>
      <c r="D172" s="22" t="s">
        <v>2855</v>
      </c>
      <c r="E172" s="22" t="s">
        <v>16</v>
      </c>
      <c r="F172" s="22" t="s">
        <v>820</v>
      </c>
      <c r="G172" s="22" t="s">
        <v>74</v>
      </c>
      <c r="H172" s="22" t="s">
        <v>65</v>
      </c>
      <c r="I172" s="22" t="s">
        <v>313</v>
      </c>
      <c r="J172" s="52"/>
      <c r="K172" s="22" t="s">
        <v>313</v>
      </c>
      <c r="L172" s="22" t="s">
        <v>2890</v>
      </c>
      <c r="M172" s="22" t="s">
        <v>27</v>
      </c>
    </row>
    <row r="173" spans="1:13" ht="12.75">
      <c r="A173" s="9" t="s">
        <v>2891</v>
      </c>
      <c r="B173" s="22" t="s">
        <v>2892</v>
      </c>
      <c r="C173" s="22" t="s">
        <v>2893</v>
      </c>
      <c r="D173" s="22" t="s">
        <v>2894</v>
      </c>
      <c r="E173" s="22" t="s">
        <v>16</v>
      </c>
      <c r="F173" s="22" t="s">
        <v>1492</v>
      </c>
      <c r="G173" s="22" t="s">
        <v>352</v>
      </c>
      <c r="H173" s="52" t="s">
        <v>292</v>
      </c>
      <c r="I173" s="52" t="s">
        <v>292</v>
      </c>
      <c r="J173" s="52"/>
      <c r="K173" s="22" t="s">
        <v>352</v>
      </c>
      <c r="L173" s="22" t="s">
        <v>2895</v>
      </c>
      <c r="M173" s="22" t="s">
        <v>2896</v>
      </c>
    </row>
    <row r="174" spans="1:13" ht="12.75">
      <c r="A174" s="9" t="s">
        <v>2897</v>
      </c>
      <c r="B174" s="22" t="s">
        <v>2898</v>
      </c>
      <c r="C174" s="22" t="s">
        <v>2899</v>
      </c>
      <c r="D174" s="22" t="s">
        <v>2900</v>
      </c>
      <c r="E174" s="22" t="s">
        <v>16</v>
      </c>
      <c r="F174" s="22" t="s">
        <v>316</v>
      </c>
      <c r="G174" s="22" t="s">
        <v>317</v>
      </c>
      <c r="H174" s="22" t="s">
        <v>88</v>
      </c>
      <c r="I174" s="52" t="s">
        <v>57</v>
      </c>
      <c r="J174" s="52"/>
      <c r="K174" s="22" t="s">
        <v>2251</v>
      </c>
      <c r="L174" s="22" t="s">
        <v>2901</v>
      </c>
      <c r="M174" s="22" t="s">
        <v>27</v>
      </c>
    </row>
    <row r="175" spans="1:13" ht="12.75">
      <c r="A175" s="9" t="s">
        <v>2749</v>
      </c>
      <c r="B175" s="22" t="s">
        <v>2750</v>
      </c>
      <c r="C175" s="22" t="s">
        <v>1401</v>
      </c>
      <c r="D175" s="22" t="s">
        <v>2751</v>
      </c>
      <c r="E175" s="22" t="s">
        <v>16</v>
      </c>
      <c r="F175" s="22" t="s">
        <v>1492</v>
      </c>
      <c r="G175" s="22" t="s">
        <v>43</v>
      </c>
      <c r="H175" s="22" t="s">
        <v>342</v>
      </c>
      <c r="I175" s="52" t="s">
        <v>309</v>
      </c>
      <c r="J175" s="52"/>
      <c r="K175" s="22" t="s">
        <v>342</v>
      </c>
      <c r="L175" s="22" t="s">
        <v>2902</v>
      </c>
      <c r="M175" s="22" t="s">
        <v>27</v>
      </c>
    </row>
    <row r="176" spans="1:13" ht="12.75">
      <c r="A176" s="9" t="s">
        <v>2903</v>
      </c>
      <c r="B176" s="22" t="s">
        <v>2904</v>
      </c>
      <c r="C176" s="22" t="s">
        <v>2905</v>
      </c>
      <c r="D176" s="22" t="s">
        <v>2906</v>
      </c>
      <c r="E176" s="22" t="s">
        <v>16</v>
      </c>
      <c r="F176" s="22" t="s">
        <v>1063</v>
      </c>
      <c r="G176" s="22" t="s">
        <v>42</v>
      </c>
      <c r="H176" s="22" t="s">
        <v>43</v>
      </c>
      <c r="I176" s="22" t="s">
        <v>48</v>
      </c>
      <c r="J176" s="52"/>
      <c r="K176" s="22" t="s">
        <v>2236</v>
      </c>
      <c r="L176" s="22" t="s">
        <v>2907</v>
      </c>
      <c r="M176" s="22" t="s">
        <v>27</v>
      </c>
    </row>
    <row r="177" spans="1:13" ht="12.75">
      <c r="A177" s="11" t="s">
        <v>2908</v>
      </c>
      <c r="B177" s="26" t="s">
        <v>2909</v>
      </c>
      <c r="C177" s="26" t="s">
        <v>2910</v>
      </c>
      <c r="D177" s="26" t="s">
        <v>2911</v>
      </c>
      <c r="E177" s="26" t="s">
        <v>16</v>
      </c>
      <c r="F177" s="26" t="s">
        <v>1602</v>
      </c>
      <c r="G177" s="53" t="s">
        <v>35</v>
      </c>
      <c r="H177" s="53" t="s">
        <v>35</v>
      </c>
      <c r="I177" s="26" t="s">
        <v>35</v>
      </c>
      <c r="J177" s="53"/>
      <c r="K177" s="26" t="s">
        <v>2277</v>
      </c>
      <c r="L177" s="26" t="s">
        <v>2912</v>
      </c>
      <c r="M177" s="26" t="s">
        <v>27</v>
      </c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">
      <c r="A179" s="134" t="s">
        <v>576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4"/>
    </row>
    <row r="180" spans="1:13" ht="12.75">
      <c r="A180" s="7" t="s">
        <v>2913</v>
      </c>
      <c r="B180" s="25" t="s">
        <v>2914</v>
      </c>
      <c r="C180" s="25" t="s">
        <v>2915</v>
      </c>
      <c r="D180" s="25" t="s">
        <v>2916</v>
      </c>
      <c r="E180" s="25" t="s">
        <v>16</v>
      </c>
      <c r="F180" s="25" t="s">
        <v>1492</v>
      </c>
      <c r="G180" s="25" t="s">
        <v>48</v>
      </c>
      <c r="H180" s="25" t="s">
        <v>44</v>
      </c>
      <c r="I180" s="51" t="s">
        <v>49</v>
      </c>
      <c r="J180" s="51"/>
      <c r="K180" s="25" t="s">
        <v>2230</v>
      </c>
      <c r="L180" s="25" t="s">
        <v>2917</v>
      </c>
      <c r="M180" s="25" t="s">
        <v>27</v>
      </c>
    </row>
    <row r="181" spans="1:13" ht="12.75">
      <c r="A181" s="9" t="s">
        <v>2918</v>
      </c>
      <c r="B181" s="22" t="s">
        <v>1319</v>
      </c>
      <c r="C181" s="22" t="s">
        <v>2919</v>
      </c>
      <c r="D181" s="22" t="s">
        <v>2920</v>
      </c>
      <c r="E181" s="22" t="s">
        <v>16</v>
      </c>
      <c r="F181" s="22" t="s">
        <v>2921</v>
      </c>
      <c r="G181" s="22" t="s">
        <v>72</v>
      </c>
      <c r="H181" s="52" t="s">
        <v>116</v>
      </c>
      <c r="I181" s="52" t="s">
        <v>116</v>
      </c>
      <c r="J181" s="52"/>
      <c r="K181" s="22" t="s">
        <v>2922</v>
      </c>
      <c r="L181" s="22" t="s">
        <v>2923</v>
      </c>
      <c r="M181" s="22" t="s">
        <v>27</v>
      </c>
    </row>
    <row r="182" spans="1:13" ht="12.75">
      <c r="A182" s="11" t="s">
        <v>2924</v>
      </c>
      <c r="B182" s="26" t="s">
        <v>2925</v>
      </c>
      <c r="C182" s="26" t="s">
        <v>2926</v>
      </c>
      <c r="D182" s="26" t="s">
        <v>2927</v>
      </c>
      <c r="E182" s="26" t="s">
        <v>16</v>
      </c>
      <c r="F182" s="26" t="s">
        <v>2928</v>
      </c>
      <c r="G182" s="26" t="s">
        <v>57</v>
      </c>
      <c r="H182" s="26" t="s">
        <v>65</v>
      </c>
      <c r="I182" s="53" t="s">
        <v>63</v>
      </c>
      <c r="J182" s="53"/>
      <c r="K182" s="26" t="s">
        <v>2581</v>
      </c>
      <c r="L182" s="26" t="s">
        <v>2929</v>
      </c>
      <c r="M182" s="26" t="s">
        <v>27</v>
      </c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">
      <c r="A184" s="134" t="s">
        <v>591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4"/>
    </row>
    <row r="185" spans="1:13" ht="12.75">
      <c r="A185" s="7" t="s">
        <v>2930</v>
      </c>
      <c r="B185" s="25" t="s">
        <v>2931</v>
      </c>
      <c r="C185" s="25" t="s">
        <v>2932</v>
      </c>
      <c r="D185" s="25" t="s">
        <v>2933</v>
      </c>
      <c r="E185" s="25" t="s">
        <v>10</v>
      </c>
      <c r="F185" s="25" t="s">
        <v>2934</v>
      </c>
      <c r="G185" s="25" t="s">
        <v>65</v>
      </c>
      <c r="H185" s="25" t="s">
        <v>63</v>
      </c>
      <c r="I185" s="51"/>
      <c r="J185" s="51"/>
      <c r="K185" s="25" t="s">
        <v>2511</v>
      </c>
      <c r="L185" s="25" t="s">
        <v>2935</v>
      </c>
      <c r="M185" s="25" t="s">
        <v>27</v>
      </c>
    </row>
    <row r="186" spans="1:13" ht="12.75">
      <c r="A186" s="9" t="s">
        <v>2936</v>
      </c>
      <c r="B186" s="22" t="s">
        <v>2937</v>
      </c>
      <c r="C186" s="22" t="s">
        <v>2938</v>
      </c>
      <c r="D186" s="22" t="s">
        <v>2939</v>
      </c>
      <c r="E186" s="22" t="s">
        <v>16</v>
      </c>
      <c r="F186" s="22" t="s">
        <v>1492</v>
      </c>
      <c r="G186" s="22" t="s">
        <v>56</v>
      </c>
      <c r="H186" s="22" t="s">
        <v>57</v>
      </c>
      <c r="I186" s="22" t="s">
        <v>74</v>
      </c>
      <c r="J186" s="52"/>
      <c r="K186" s="22" t="s">
        <v>2802</v>
      </c>
      <c r="L186" s="22" t="s">
        <v>2940</v>
      </c>
      <c r="M186" s="22" t="s">
        <v>27</v>
      </c>
    </row>
    <row r="187" spans="1:13" ht="12.75">
      <c r="A187" s="9" t="s">
        <v>2941</v>
      </c>
      <c r="B187" s="22" t="s">
        <v>2942</v>
      </c>
      <c r="C187" s="22" t="s">
        <v>2943</v>
      </c>
      <c r="D187" s="22" t="s">
        <v>2944</v>
      </c>
      <c r="E187" s="22" t="s">
        <v>16</v>
      </c>
      <c r="F187" s="22" t="s">
        <v>321</v>
      </c>
      <c r="G187" s="22" t="s">
        <v>43</v>
      </c>
      <c r="H187" s="22" t="s">
        <v>44</v>
      </c>
      <c r="I187" s="52" t="s">
        <v>56</v>
      </c>
      <c r="J187" s="52"/>
      <c r="K187" s="22" t="s">
        <v>2230</v>
      </c>
      <c r="L187" s="22" t="s">
        <v>2945</v>
      </c>
      <c r="M187" s="22" t="s">
        <v>27</v>
      </c>
    </row>
    <row r="188" spans="1:13" ht="12.75">
      <c r="A188" s="9" t="s">
        <v>2946</v>
      </c>
      <c r="B188" s="22" t="s">
        <v>2947</v>
      </c>
      <c r="C188" s="22" t="s">
        <v>2948</v>
      </c>
      <c r="D188" s="22" t="s">
        <v>2949</v>
      </c>
      <c r="E188" s="22" t="s">
        <v>1386</v>
      </c>
      <c r="F188" s="22" t="s">
        <v>2580</v>
      </c>
      <c r="G188" s="22" t="s">
        <v>88</v>
      </c>
      <c r="H188" s="22" t="s">
        <v>411</v>
      </c>
      <c r="I188" s="22" t="s">
        <v>352</v>
      </c>
      <c r="J188" s="52"/>
      <c r="K188" s="22" t="s">
        <v>352</v>
      </c>
      <c r="L188" s="22" t="s">
        <v>2950</v>
      </c>
      <c r="M188" s="22" t="s">
        <v>27</v>
      </c>
    </row>
    <row r="189" spans="1:13" ht="12.75">
      <c r="A189" s="11" t="s">
        <v>2951</v>
      </c>
      <c r="B189" s="26" t="s">
        <v>2952</v>
      </c>
      <c r="C189" s="26" t="s">
        <v>2953</v>
      </c>
      <c r="D189" s="26" t="s">
        <v>2954</v>
      </c>
      <c r="E189" s="26" t="s">
        <v>16</v>
      </c>
      <c r="F189" s="26" t="s">
        <v>384</v>
      </c>
      <c r="G189" s="26" t="s">
        <v>307</v>
      </c>
      <c r="H189" s="26" t="s">
        <v>57</v>
      </c>
      <c r="I189" s="26" t="s">
        <v>113</v>
      </c>
      <c r="J189" s="53"/>
      <c r="K189" s="26" t="s">
        <v>2633</v>
      </c>
      <c r="L189" s="26" t="s">
        <v>2955</v>
      </c>
      <c r="M189" s="26" t="s">
        <v>27</v>
      </c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8">
      <c r="A191" s="14" t="s">
        <v>140</v>
      </c>
      <c r="B191" s="1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15" t="s">
        <v>595</v>
      </c>
      <c r="B192" s="1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4.25">
      <c r="A193" s="17"/>
      <c r="B193" s="18" t="s">
        <v>596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19" t="s">
        <v>597</v>
      </c>
      <c r="B194" s="39" t="s">
        <v>598</v>
      </c>
      <c r="C194" s="39" t="s">
        <v>599</v>
      </c>
      <c r="D194" s="39" t="s">
        <v>600</v>
      </c>
      <c r="E194" s="39" t="s">
        <v>601</v>
      </c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16" t="s">
        <v>2066</v>
      </c>
      <c r="B195" s="4" t="s">
        <v>605</v>
      </c>
      <c r="C195" s="4" t="s">
        <v>606</v>
      </c>
      <c r="D195" s="4" t="s">
        <v>50</v>
      </c>
      <c r="E195" s="20" t="s">
        <v>2069</v>
      </c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16" t="s">
        <v>2055</v>
      </c>
      <c r="B196" s="4" t="s">
        <v>602</v>
      </c>
      <c r="C196" s="4" t="s">
        <v>2773</v>
      </c>
      <c r="D196" s="4" t="s">
        <v>1227</v>
      </c>
      <c r="E196" s="20" t="s">
        <v>2057</v>
      </c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4.25">
      <c r="A198" s="17"/>
      <c r="B198" s="18" t="s">
        <v>608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19" t="s">
        <v>597</v>
      </c>
      <c r="B199" s="39" t="s">
        <v>598</v>
      </c>
      <c r="C199" s="39" t="s">
        <v>599</v>
      </c>
      <c r="D199" s="39" t="s">
        <v>600</v>
      </c>
      <c r="E199" s="39" t="s">
        <v>601</v>
      </c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16" t="s">
        <v>2058</v>
      </c>
      <c r="B200" s="4" t="s">
        <v>608</v>
      </c>
      <c r="C200" s="4" t="s">
        <v>2773</v>
      </c>
      <c r="D200" s="4" t="s">
        <v>31</v>
      </c>
      <c r="E200" s="20" t="s">
        <v>2063</v>
      </c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4.25">
      <c r="A202" s="17"/>
      <c r="B202" s="18" t="s">
        <v>617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19" t="s">
        <v>597</v>
      </c>
      <c r="B203" s="39" t="s">
        <v>598</v>
      </c>
      <c r="C203" s="39" t="s">
        <v>599</v>
      </c>
      <c r="D203" s="39" t="s">
        <v>600</v>
      </c>
      <c r="E203" s="39" t="s">
        <v>601</v>
      </c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16" t="s">
        <v>2071</v>
      </c>
      <c r="B204" s="4" t="s">
        <v>617</v>
      </c>
      <c r="C204" s="4" t="s">
        <v>606</v>
      </c>
      <c r="D204" s="4" t="s">
        <v>18</v>
      </c>
      <c r="E204" s="20" t="s">
        <v>2077</v>
      </c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16" t="s">
        <v>2079</v>
      </c>
      <c r="B205" s="4" t="s">
        <v>617</v>
      </c>
      <c r="C205" s="4" t="s">
        <v>1608</v>
      </c>
      <c r="D205" s="4" t="s">
        <v>24</v>
      </c>
      <c r="E205" s="20" t="s">
        <v>2086</v>
      </c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16" t="s">
        <v>2038</v>
      </c>
      <c r="B206" s="4" t="s">
        <v>617</v>
      </c>
      <c r="C206" s="4" t="s">
        <v>609</v>
      </c>
      <c r="D206" s="4" t="s">
        <v>50</v>
      </c>
      <c r="E206" s="20" t="s">
        <v>2043</v>
      </c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16" t="s">
        <v>2019</v>
      </c>
      <c r="B207" s="4" t="s">
        <v>617</v>
      </c>
      <c r="C207" s="4" t="s">
        <v>618</v>
      </c>
      <c r="D207" s="4" t="s">
        <v>31</v>
      </c>
      <c r="E207" s="20" t="s">
        <v>2025</v>
      </c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16" t="s">
        <v>2087</v>
      </c>
      <c r="B208" s="4" t="s">
        <v>617</v>
      </c>
      <c r="C208" s="4" t="s">
        <v>1608</v>
      </c>
      <c r="D208" s="4" t="s">
        <v>110</v>
      </c>
      <c r="E208" s="20" t="s">
        <v>2092</v>
      </c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16" t="s">
        <v>1632</v>
      </c>
      <c r="B209" s="4" t="s">
        <v>617</v>
      </c>
      <c r="C209" s="4" t="s">
        <v>609</v>
      </c>
      <c r="D209" s="4" t="s">
        <v>144</v>
      </c>
      <c r="E209" s="20" t="s">
        <v>2045</v>
      </c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16" t="s">
        <v>800</v>
      </c>
      <c r="B210" s="4" t="s">
        <v>617</v>
      </c>
      <c r="C210" s="4" t="s">
        <v>609</v>
      </c>
      <c r="D210" s="4" t="s">
        <v>168</v>
      </c>
      <c r="E210" s="20" t="s">
        <v>2048</v>
      </c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16" t="s">
        <v>2094</v>
      </c>
      <c r="B211" s="4" t="s">
        <v>617</v>
      </c>
      <c r="C211" s="4" t="s">
        <v>1608</v>
      </c>
      <c r="D211" s="4" t="s">
        <v>45</v>
      </c>
      <c r="E211" s="20" t="s">
        <v>2098</v>
      </c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16" t="s">
        <v>1650</v>
      </c>
      <c r="B212" s="4" t="s">
        <v>617</v>
      </c>
      <c r="C212" s="4" t="s">
        <v>2773</v>
      </c>
      <c r="D212" s="4" t="s">
        <v>37</v>
      </c>
      <c r="E212" s="20" t="s">
        <v>2065</v>
      </c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4.25">
      <c r="A214" s="17"/>
      <c r="B214" s="18" t="s">
        <v>632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>
      <c r="A215" s="19" t="s">
        <v>597</v>
      </c>
      <c r="B215" s="39" t="s">
        <v>598</v>
      </c>
      <c r="C215" s="39" t="s">
        <v>599</v>
      </c>
      <c r="D215" s="39" t="s">
        <v>600</v>
      </c>
      <c r="E215" s="39" t="s">
        <v>601</v>
      </c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16" t="s">
        <v>2956</v>
      </c>
      <c r="B216" s="4" t="s">
        <v>633</v>
      </c>
      <c r="C216" s="4" t="s">
        <v>618</v>
      </c>
      <c r="D216" s="4" t="s">
        <v>37</v>
      </c>
      <c r="E216" s="20" t="s">
        <v>2032</v>
      </c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16" t="s">
        <v>2034</v>
      </c>
      <c r="B217" s="4" t="s">
        <v>727</v>
      </c>
      <c r="C217" s="4" t="s">
        <v>618</v>
      </c>
      <c r="D217" s="4" t="s">
        <v>209</v>
      </c>
      <c r="E217" s="20" t="s">
        <v>2037</v>
      </c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>
      <c r="A220" s="15" t="s">
        <v>637</v>
      </c>
      <c r="B220" s="1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4.25">
      <c r="A221" s="17"/>
      <c r="B221" s="18" t="s">
        <v>596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>
      <c r="A222" s="19" t="s">
        <v>597</v>
      </c>
      <c r="B222" s="39" t="s">
        <v>598</v>
      </c>
      <c r="C222" s="39" t="s">
        <v>599</v>
      </c>
      <c r="D222" s="39" t="s">
        <v>600</v>
      </c>
      <c r="E222" s="39" t="s">
        <v>601</v>
      </c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16" t="s">
        <v>2913</v>
      </c>
      <c r="B223" s="4" t="s">
        <v>605</v>
      </c>
      <c r="C223" s="4" t="s">
        <v>665</v>
      </c>
      <c r="D223" s="4" t="s">
        <v>44</v>
      </c>
      <c r="E223" s="20" t="s">
        <v>2917</v>
      </c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16" t="s">
        <v>2201</v>
      </c>
      <c r="B224" s="4" t="s">
        <v>605</v>
      </c>
      <c r="C224" s="4" t="s">
        <v>638</v>
      </c>
      <c r="D224" s="4" t="s">
        <v>42</v>
      </c>
      <c r="E224" s="20" t="s">
        <v>2205</v>
      </c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16" t="s">
        <v>2206</v>
      </c>
      <c r="B225" s="4" t="s">
        <v>605</v>
      </c>
      <c r="C225" s="4" t="s">
        <v>638</v>
      </c>
      <c r="D225" s="4" t="s">
        <v>59</v>
      </c>
      <c r="E225" s="20" t="s">
        <v>2210</v>
      </c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16" t="s">
        <v>2110</v>
      </c>
      <c r="B226" s="4" t="s">
        <v>605</v>
      </c>
      <c r="C226" s="4" t="s">
        <v>2773</v>
      </c>
      <c r="D226" s="4" t="s">
        <v>30</v>
      </c>
      <c r="E226" s="20" t="s">
        <v>2115</v>
      </c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16" t="s">
        <v>2783</v>
      </c>
      <c r="B227" s="4" t="s">
        <v>605</v>
      </c>
      <c r="C227" s="4" t="s">
        <v>649</v>
      </c>
      <c r="D227" s="4" t="s">
        <v>38</v>
      </c>
      <c r="E227" s="20" t="s">
        <v>2787</v>
      </c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16" t="s">
        <v>2163</v>
      </c>
      <c r="B228" s="4" t="s">
        <v>602</v>
      </c>
      <c r="C228" s="4" t="s">
        <v>1608</v>
      </c>
      <c r="D228" s="4" t="s">
        <v>30</v>
      </c>
      <c r="E228" s="20" t="s">
        <v>2164</v>
      </c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16" t="s">
        <v>2211</v>
      </c>
      <c r="B229" s="4" t="s">
        <v>605</v>
      </c>
      <c r="C229" s="4" t="s">
        <v>638</v>
      </c>
      <c r="D229" s="4" t="s">
        <v>30</v>
      </c>
      <c r="E229" s="20" t="s">
        <v>2214</v>
      </c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16" t="s">
        <v>2117</v>
      </c>
      <c r="B230" s="4" t="s">
        <v>605</v>
      </c>
      <c r="C230" s="4" t="s">
        <v>2773</v>
      </c>
      <c r="D230" s="4" t="s">
        <v>50</v>
      </c>
      <c r="E230" s="20" t="s">
        <v>2121</v>
      </c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4.25">
      <c r="A232" s="17"/>
      <c r="B232" s="18" t="s">
        <v>608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>
      <c r="A233" s="19" t="s">
        <v>597</v>
      </c>
      <c r="B233" s="39" t="s">
        <v>598</v>
      </c>
      <c r="C233" s="39" t="s">
        <v>599</v>
      </c>
      <c r="D233" s="39" t="s">
        <v>600</v>
      </c>
      <c r="E233" s="39" t="s">
        <v>601</v>
      </c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16" t="s">
        <v>2843</v>
      </c>
      <c r="B234" s="4" t="s">
        <v>608</v>
      </c>
      <c r="C234" s="4" t="s">
        <v>657</v>
      </c>
      <c r="D234" s="4" t="s">
        <v>313</v>
      </c>
      <c r="E234" s="20" t="s">
        <v>2847</v>
      </c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16" t="s">
        <v>2217</v>
      </c>
      <c r="B235" s="4" t="s">
        <v>608</v>
      </c>
      <c r="C235" s="4" t="s">
        <v>638</v>
      </c>
      <c r="D235" s="4" t="s">
        <v>56</v>
      </c>
      <c r="E235" s="20" t="s">
        <v>2222</v>
      </c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16" t="s">
        <v>2223</v>
      </c>
      <c r="B236" s="4" t="s">
        <v>608</v>
      </c>
      <c r="C236" s="4" t="s">
        <v>638</v>
      </c>
      <c r="D236" s="4" t="s">
        <v>56</v>
      </c>
      <c r="E236" s="20" t="s">
        <v>2228</v>
      </c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16" t="s">
        <v>2788</v>
      </c>
      <c r="B237" s="4" t="s">
        <v>608</v>
      </c>
      <c r="C237" s="4" t="s">
        <v>649</v>
      </c>
      <c r="D237" s="4" t="s">
        <v>113</v>
      </c>
      <c r="E237" s="20" t="s">
        <v>2792</v>
      </c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16" t="s">
        <v>2229</v>
      </c>
      <c r="B238" s="4" t="s">
        <v>608</v>
      </c>
      <c r="C238" s="4" t="s">
        <v>638</v>
      </c>
      <c r="D238" s="4" t="s">
        <v>44</v>
      </c>
      <c r="E238" s="20" t="s">
        <v>2231</v>
      </c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16" t="s">
        <v>2311</v>
      </c>
      <c r="B239" s="4" t="s">
        <v>608</v>
      </c>
      <c r="C239" s="4" t="s">
        <v>662</v>
      </c>
      <c r="D239" s="4" t="s">
        <v>284</v>
      </c>
      <c r="E239" s="20" t="s">
        <v>2313</v>
      </c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16" t="s">
        <v>2232</v>
      </c>
      <c r="B240" s="4" t="s">
        <v>608</v>
      </c>
      <c r="C240" s="4" t="s">
        <v>638</v>
      </c>
      <c r="D240" s="4" t="s">
        <v>48</v>
      </c>
      <c r="E240" s="20" t="s">
        <v>2237</v>
      </c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16" t="s">
        <v>2165</v>
      </c>
      <c r="B241" s="4" t="s">
        <v>608</v>
      </c>
      <c r="C241" s="4" t="s">
        <v>1608</v>
      </c>
      <c r="D241" s="4" t="s">
        <v>537</v>
      </c>
      <c r="E241" s="20" t="s">
        <v>2167</v>
      </c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16" t="s">
        <v>2133</v>
      </c>
      <c r="B242" s="4" t="s">
        <v>608</v>
      </c>
      <c r="C242" s="4" t="s">
        <v>606</v>
      </c>
      <c r="D242" s="4" t="s">
        <v>59</v>
      </c>
      <c r="E242" s="20" t="s">
        <v>2138</v>
      </c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16" t="s">
        <v>2315</v>
      </c>
      <c r="B243" s="4" t="s">
        <v>608</v>
      </c>
      <c r="C243" s="4" t="s">
        <v>662</v>
      </c>
      <c r="D243" s="4" t="s">
        <v>121</v>
      </c>
      <c r="E243" s="20" t="s">
        <v>2317</v>
      </c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16" t="s">
        <v>2318</v>
      </c>
      <c r="B244" s="4" t="s">
        <v>608</v>
      </c>
      <c r="C244" s="4" t="s">
        <v>662</v>
      </c>
      <c r="D244" s="4" t="s">
        <v>43</v>
      </c>
      <c r="E244" s="20" t="s">
        <v>2321</v>
      </c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16" t="s">
        <v>2139</v>
      </c>
      <c r="B245" s="4" t="s">
        <v>608</v>
      </c>
      <c r="C245" s="4" t="s">
        <v>606</v>
      </c>
      <c r="D245" s="4" t="s">
        <v>38</v>
      </c>
      <c r="E245" s="20" t="s">
        <v>2142</v>
      </c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16" t="s">
        <v>2168</v>
      </c>
      <c r="B246" s="4" t="s">
        <v>608</v>
      </c>
      <c r="C246" s="4" t="s">
        <v>1608</v>
      </c>
      <c r="D246" s="4" t="s">
        <v>36</v>
      </c>
      <c r="E246" s="20" t="s">
        <v>2171</v>
      </c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16" t="s">
        <v>2143</v>
      </c>
      <c r="B247" s="4" t="s">
        <v>608</v>
      </c>
      <c r="C247" s="4" t="s">
        <v>606</v>
      </c>
      <c r="D247" s="4" t="s">
        <v>25</v>
      </c>
      <c r="E247" s="20" t="s">
        <v>2148</v>
      </c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4.25">
      <c r="A249" s="17"/>
      <c r="B249" s="18" t="s">
        <v>617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">
      <c r="A250" s="19" t="s">
        <v>597</v>
      </c>
      <c r="B250" s="39" t="s">
        <v>598</v>
      </c>
      <c r="C250" s="39" t="s">
        <v>599</v>
      </c>
      <c r="D250" s="39" t="s">
        <v>600</v>
      </c>
      <c r="E250" s="39" t="s">
        <v>601</v>
      </c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16" t="s">
        <v>2103</v>
      </c>
      <c r="B251" s="4" t="s">
        <v>617</v>
      </c>
      <c r="C251" s="4" t="s">
        <v>618</v>
      </c>
      <c r="D251" s="4" t="s">
        <v>59</v>
      </c>
      <c r="E251" s="20" t="s">
        <v>2108</v>
      </c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16" t="s">
        <v>2239</v>
      </c>
      <c r="B252" s="4" t="s">
        <v>617</v>
      </c>
      <c r="C252" s="4" t="s">
        <v>638</v>
      </c>
      <c r="D252" s="4" t="s">
        <v>352</v>
      </c>
      <c r="E252" s="20" t="s">
        <v>2244</v>
      </c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16" t="s">
        <v>2325</v>
      </c>
      <c r="B253" s="4" t="s">
        <v>617</v>
      </c>
      <c r="C253" s="4" t="s">
        <v>662</v>
      </c>
      <c r="D253" s="4" t="s">
        <v>313</v>
      </c>
      <c r="E253" s="20" t="s">
        <v>2329</v>
      </c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16" t="s">
        <v>2149</v>
      </c>
      <c r="B254" s="4" t="s">
        <v>617</v>
      </c>
      <c r="C254" s="4" t="s">
        <v>606</v>
      </c>
      <c r="D254" s="4" t="s">
        <v>49</v>
      </c>
      <c r="E254" s="20" t="s">
        <v>2153</v>
      </c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16" t="s">
        <v>2172</v>
      </c>
      <c r="B255" s="4" t="s">
        <v>617</v>
      </c>
      <c r="C255" s="4" t="s">
        <v>1608</v>
      </c>
      <c r="D255" s="4" t="s">
        <v>370</v>
      </c>
      <c r="E255" s="20" t="s">
        <v>2175</v>
      </c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16" t="s">
        <v>2794</v>
      </c>
      <c r="B256" s="4" t="s">
        <v>617</v>
      </c>
      <c r="C256" s="4" t="s">
        <v>649</v>
      </c>
      <c r="D256" s="4" t="s">
        <v>79</v>
      </c>
      <c r="E256" s="20" t="s">
        <v>2798</v>
      </c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16" t="s">
        <v>2330</v>
      </c>
      <c r="B257" s="4" t="s">
        <v>617</v>
      </c>
      <c r="C257" s="4" t="s">
        <v>662</v>
      </c>
      <c r="D257" s="4" t="s">
        <v>468</v>
      </c>
      <c r="E257" s="20" t="s">
        <v>2333</v>
      </c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16" t="s">
        <v>2918</v>
      </c>
      <c r="B258" s="4" t="s">
        <v>617</v>
      </c>
      <c r="C258" s="4" t="s">
        <v>665</v>
      </c>
      <c r="D258" s="4" t="s">
        <v>72</v>
      </c>
      <c r="E258" s="20" t="s">
        <v>2923</v>
      </c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16" t="s">
        <v>2245</v>
      </c>
      <c r="B259" s="4" t="s">
        <v>617</v>
      </c>
      <c r="C259" s="4" t="s">
        <v>638</v>
      </c>
      <c r="D259" s="4" t="s">
        <v>411</v>
      </c>
      <c r="E259" s="20" t="s">
        <v>2247</v>
      </c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16" t="s">
        <v>2334</v>
      </c>
      <c r="B260" s="4" t="s">
        <v>617</v>
      </c>
      <c r="C260" s="4" t="s">
        <v>662</v>
      </c>
      <c r="D260" s="4" t="s">
        <v>68</v>
      </c>
      <c r="E260" s="20" t="s">
        <v>2339</v>
      </c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16" t="s">
        <v>2848</v>
      </c>
      <c r="B261" s="4" t="s">
        <v>617</v>
      </c>
      <c r="C261" s="4" t="s">
        <v>657</v>
      </c>
      <c r="D261" s="4" t="s">
        <v>63</v>
      </c>
      <c r="E261" s="20" t="s">
        <v>2852</v>
      </c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16" t="s">
        <v>2176</v>
      </c>
      <c r="B262" s="4" t="s">
        <v>617</v>
      </c>
      <c r="C262" s="4" t="s">
        <v>1608</v>
      </c>
      <c r="D262" s="4" t="s">
        <v>56</v>
      </c>
      <c r="E262" s="20" t="s">
        <v>2180</v>
      </c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16" t="s">
        <v>2853</v>
      </c>
      <c r="B263" s="4" t="s">
        <v>617</v>
      </c>
      <c r="C263" s="4" t="s">
        <v>657</v>
      </c>
      <c r="D263" s="4" t="s">
        <v>313</v>
      </c>
      <c r="E263" s="20" t="s">
        <v>2856</v>
      </c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16" t="s">
        <v>2248</v>
      </c>
      <c r="B264" s="4" t="s">
        <v>617</v>
      </c>
      <c r="C264" s="4" t="s">
        <v>638</v>
      </c>
      <c r="D264" s="4" t="s">
        <v>88</v>
      </c>
      <c r="E264" s="20" t="s">
        <v>2252</v>
      </c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16" t="s">
        <v>2799</v>
      </c>
      <c r="B265" s="4" t="s">
        <v>617</v>
      </c>
      <c r="C265" s="4" t="s">
        <v>649</v>
      </c>
      <c r="D265" s="4" t="s">
        <v>74</v>
      </c>
      <c r="E265" s="20" t="s">
        <v>2803</v>
      </c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16" t="s">
        <v>2253</v>
      </c>
      <c r="B266" s="4" t="s">
        <v>617</v>
      </c>
      <c r="C266" s="4" t="s">
        <v>638</v>
      </c>
      <c r="D266" s="4" t="s">
        <v>56</v>
      </c>
      <c r="E266" s="20" t="s">
        <v>2256</v>
      </c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16" t="s">
        <v>2857</v>
      </c>
      <c r="B267" s="4" t="s">
        <v>617</v>
      </c>
      <c r="C267" s="4" t="s">
        <v>657</v>
      </c>
      <c r="D267" s="4" t="s">
        <v>468</v>
      </c>
      <c r="E267" s="20" t="s">
        <v>2860</v>
      </c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16" t="s">
        <v>2930</v>
      </c>
      <c r="B268" s="4" t="s">
        <v>617</v>
      </c>
      <c r="C268" s="4" t="s">
        <v>704</v>
      </c>
      <c r="D268" s="4" t="s">
        <v>63</v>
      </c>
      <c r="E268" s="20" t="s">
        <v>2935</v>
      </c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16" t="s">
        <v>2439</v>
      </c>
      <c r="B269" s="4" t="s">
        <v>617</v>
      </c>
      <c r="C269" s="4" t="s">
        <v>649</v>
      </c>
      <c r="D269" s="4" t="s">
        <v>352</v>
      </c>
      <c r="E269" s="20" t="s">
        <v>2805</v>
      </c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16" t="s">
        <v>2861</v>
      </c>
      <c r="B270" s="4" t="s">
        <v>617</v>
      </c>
      <c r="C270" s="4" t="s">
        <v>657</v>
      </c>
      <c r="D270" s="4" t="s">
        <v>74</v>
      </c>
      <c r="E270" s="20" t="s">
        <v>2865</v>
      </c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16" t="s">
        <v>2340</v>
      </c>
      <c r="B271" s="4" t="s">
        <v>617</v>
      </c>
      <c r="C271" s="4" t="s">
        <v>662</v>
      </c>
      <c r="D271" s="4" t="s">
        <v>56</v>
      </c>
      <c r="E271" s="20" t="s">
        <v>2342</v>
      </c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16" t="s">
        <v>2806</v>
      </c>
      <c r="B272" s="4" t="s">
        <v>617</v>
      </c>
      <c r="C272" s="4" t="s">
        <v>649</v>
      </c>
      <c r="D272" s="4" t="s">
        <v>57</v>
      </c>
      <c r="E272" s="20" t="s">
        <v>2811</v>
      </c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16" t="s">
        <v>2343</v>
      </c>
      <c r="B273" s="4" t="s">
        <v>617</v>
      </c>
      <c r="C273" s="4" t="s">
        <v>662</v>
      </c>
      <c r="D273" s="4" t="s">
        <v>56</v>
      </c>
      <c r="E273" s="20" t="s">
        <v>2347</v>
      </c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16" t="s">
        <v>2348</v>
      </c>
      <c r="B274" s="4" t="s">
        <v>617</v>
      </c>
      <c r="C274" s="4" t="s">
        <v>662</v>
      </c>
      <c r="D274" s="4" t="s">
        <v>56</v>
      </c>
      <c r="E274" s="20" t="s">
        <v>2352</v>
      </c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4.25">
      <c r="A276" s="17"/>
      <c r="B276" s="18" t="s">
        <v>632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5">
      <c r="A277" s="19" t="s">
        <v>597</v>
      </c>
      <c r="B277" s="39" t="s">
        <v>598</v>
      </c>
      <c r="C277" s="39" t="s">
        <v>599</v>
      </c>
      <c r="D277" s="39" t="s">
        <v>600</v>
      </c>
      <c r="E277" s="39" t="s">
        <v>601</v>
      </c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16" t="s">
        <v>2439</v>
      </c>
      <c r="B278" s="4" t="s">
        <v>727</v>
      </c>
      <c r="C278" s="4" t="s">
        <v>649</v>
      </c>
      <c r="D278" s="4" t="s">
        <v>352</v>
      </c>
      <c r="E278" s="20" t="s">
        <v>2444</v>
      </c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16" t="s">
        <v>941</v>
      </c>
      <c r="B279" s="4" t="s">
        <v>633</v>
      </c>
      <c r="C279" s="4" t="s">
        <v>1608</v>
      </c>
      <c r="D279" s="4" t="s">
        <v>410</v>
      </c>
      <c r="E279" s="20" t="s">
        <v>2102</v>
      </c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16" t="s">
        <v>2891</v>
      </c>
      <c r="B280" s="4" t="s">
        <v>633</v>
      </c>
      <c r="C280" s="4" t="s">
        <v>657</v>
      </c>
      <c r="D280" s="4" t="s">
        <v>352</v>
      </c>
      <c r="E280" s="20" t="s">
        <v>2895</v>
      </c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16" t="s">
        <v>2853</v>
      </c>
      <c r="B281" s="4" t="s">
        <v>633</v>
      </c>
      <c r="C281" s="4" t="s">
        <v>657</v>
      </c>
      <c r="D281" s="4" t="s">
        <v>313</v>
      </c>
      <c r="E281" s="20" t="s">
        <v>2890</v>
      </c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16" t="s">
        <v>2386</v>
      </c>
      <c r="B282" s="4" t="s">
        <v>727</v>
      </c>
      <c r="C282" s="4" t="s">
        <v>662</v>
      </c>
      <c r="D282" s="4" t="s">
        <v>283</v>
      </c>
      <c r="E282" s="20" t="s">
        <v>2390</v>
      </c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16" t="s">
        <v>2368</v>
      </c>
      <c r="B283" s="4" t="s">
        <v>633</v>
      </c>
      <c r="C283" s="4" t="s">
        <v>662</v>
      </c>
      <c r="D283" s="4" t="s">
        <v>307</v>
      </c>
      <c r="E283" s="20" t="s">
        <v>2372</v>
      </c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16" t="s">
        <v>2924</v>
      </c>
      <c r="B284" s="4" t="s">
        <v>633</v>
      </c>
      <c r="C284" s="4" t="s">
        <v>665</v>
      </c>
      <c r="D284" s="4" t="s">
        <v>65</v>
      </c>
      <c r="E284" s="20" t="s">
        <v>2929</v>
      </c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16" t="s">
        <v>2195</v>
      </c>
      <c r="B285" s="4" t="s">
        <v>633</v>
      </c>
      <c r="C285" s="4" t="s">
        <v>1608</v>
      </c>
      <c r="D285" s="4" t="s">
        <v>309</v>
      </c>
      <c r="E285" s="20" t="s">
        <v>2198</v>
      </c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16" t="s">
        <v>2294</v>
      </c>
      <c r="B286" s="4" t="s">
        <v>633</v>
      </c>
      <c r="C286" s="4" t="s">
        <v>638</v>
      </c>
      <c r="D286" s="4" t="s">
        <v>121</v>
      </c>
      <c r="E286" s="20" t="s">
        <v>2300</v>
      </c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16" t="s">
        <v>2064</v>
      </c>
      <c r="B287" s="4" t="s">
        <v>633</v>
      </c>
      <c r="C287" s="4" t="s">
        <v>649</v>
      </c>
      <c r="D287" s="4" t="s">
        <v>57</v>
      </c>
      <c r="E287" s="20" t="s">
        <v>2410</v>
      </c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16" t="s">
        <v>2416</v>
      </c>
      <c r="B288" s="4" t="s">
        <v>633</v>
      </c>
      <c r="C288" s="4" t="s">
        <v>649</v>
      </c>
      <c r="D288" s="4" t="s">
        <v>88</v>
      </c>
      <c r="E288" s="20" t="s">
        <v>2420</v>
      </c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16" t="s">
        <v>2376</v>
      </c>
      <c r="B289" s="4" t="s">
        <v>633</v>
      </c>
      <c r="C289" s="4" t="s">
        <v>662</v>
      </c>
      <c r="D289" s="4" t="s">
        <v>283</v>
      </c>
      <c r="E289" s="20" t="s">
        <v>2382</v>
      </c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16" t="s">
        <v>2411</v>
      </c>
      <c r="B290" s="4" t="s">
        <v>633</v>
      </c>
      <c r="C290" s="4" t="s">
        <v>649</v>
      </c>
      <c r="D290" s="4" t="s">
        <v>57</v>
      </c>
      <c r="E290" s="20" t="s">
        <v>2415</v>
      </c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16" t="s">
        <v>2340</v>
      </c>
      <c r="B291" s="4" t="s">
        <v>633</v>
      </c>
      <c r="C291" s="4" t="s">
        <v>662</v>
      </c>
      <c r="D291" s="4" t="s">
        <v>56</v>
      </c>
      <c r="E291" s="20" t="s">
        <v>2375</v>
      </c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16" t="s">
        <v>2951</v>
      </c>
      <c r="B292" s="4" t="s">
        <v>633</v>
      </c>
      <c r="C292" s="4" t="s">
        <v>704</v>
      </c>
      <c r="D292" s="4" t="s">
        <v>113</v>
      </c>
      <c r="E292" s="20" t="s">
        <v>2955</v>
      </c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16" t="s">
        <v>2453</v>
      </c>
      <c r="B293" s="4" t="s">
        <v>730</v>
      </c>
      <c r="C293" s="4" t="s">
        <v>649</v>
      </c>
      <c r="D293" s="4" t="s">
        <v>58</v>
      </c>
      <c r="E293" s="20" t="s">
        <v>2456</v>
      </c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16" t="s">
        <v>2445</v>
      </c>
      <c r="B294" s="4" t="s">
        <v>730</v>
      </c>
      <c r="C294" s="4" t="s">
        <v>649</v>
      </c>
      <c r="D294" s="4" t="s">
        <v>36</v>
      </c>
      <c r="E294" s="20" t="s">
        <v>2449</v>
      </c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16" t="s">
        <v>2908</v>
      </c>
      <c r="B295" s="4" t="s">
        <v>730</v>
      </c>
      <c r="C295" s="4" t="s">
        <v>657</v>
      </c>
      <c r="D295" s="4" t="s">
        <v>35</v>
      </c>
      <c r="E295" s="20" t="s">
        <v>2912</v>
      </c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16" t="s">
        <v>2946</v>
      </c>
      <c r="B296" s="4" t="s">
        <v>633</v>
      </c>
      <c r="C296" s="4" t="s">
        <v>704</v>
      </c>
      <c r="D296" s="4" t="s">
        <v>352</v>
      </c>
      <c r="E296" s="20" t="s">
        <v>2950</v>
      </c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16" t="s">
        <v>2903</v>
      </c>
      <c r="B297" s="4" t="s">
        <v>727</v>
      </c>
      <c r="C297" s="4" t="s">
        <v>657</v>
      </c>
      <c r="D297" s="4" t="s">
        <v>48</v>
      </c>
      <c r="E297" s="20" t="s">
        <v>2907</v>
      </c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16" t="s">
        <v>2391</v>
      </c>
      <c r="B298" s="4" t="s">
        <v>727</v>
      </c>
      <c r="C298" s="4" t="s">
        <v>662</v>
      </c>
      <c r="D298" s="4" t="s">
        <v>348</v>
      </c>
      <c r="E298" s="20" t="s">
        <v>2394</v>
      </c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16" t="s">
        <v>2421</v>
      </c>
      <c r="B299" s="4" t="s">
        <v>633</v>
      </c>
      <c r="C299" s="4" t="s">
        <v>649</v>
      </c>
      <c r="D299" s="4" t="s">
        <v>49</v>
      </c>
      <c r="E299" s="20" t="s">
        <v>2426</v>
      </c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16" t="s">
        <v>2289</v>
      </c>
      <c r="B300" s="4" t="s">
        <v>633</v>
      </c>
      <c r="C300" s="4" t="s">
        <v>638</v>
      </c>
      <c r="D300" s="4" t="s">
        <v>48</v>
      </c>
      <c r="E300" s="20" t="s">
        <v>2292</v>
      </c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16" t="s">
        <v>2775</v>
      </c>
      <c r="B301" s="4" t="s">
        <v>730</v>
      </c>
      <c r="C301" s="4" t="s">
        <v>649</v>
      </c>
      <c r="D301" s="4" t="s">
        <v>130</v>
      </c>
      <c r="E301" s="20" t="s">
        <v>2842</v>
      </c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</sheetData>
  <sheetProtection/>
  <mergeCells count="27">
    <mergeCell ref="A53:L53"/>
    <mergeCell ref="A66:L66"/>
    <mergeCell ref="A1:M3"/>
    <mergeCell ref="B4:B5"/>
    <mergeCell ref="A27:L27"/>
    <mergeCell ref="A33:L33"/>
    <mergeCell ref="A36:L36"/>
    <mergeCell ref="A42:L42"/>
    <mergeCell ref="M4:M5"/>
    <mergeCell ref="A6:L6"/>
    <mergeCell ref="A11:L11"/>
    <mergeCell ref="A18:L18"/>
    <mergeCell ref="A23:L23"/>
    <mergeCell ref="A4:A5"/>
    <mergeCell ref="C4:C5"/>
    <mergeCell ref="D4:D5"/>
    <mergeCell ref="E4:E5"/>
    <mergeCell ref="A184:L184"/>
    <mergeCell ref="F4:F5"/>
    <mergeCell ref="G4:J4"/>
    <mergeCell ref="K4:K5"/>
    <mergeCell ref="A133:L133"/>
    <mergeCell ref="A160:L160"/>
    <mergeCell ref="A179:L179"/>
    <mergeCell ref="L4:L5"/>
    <mergeCell ref="A94:L94"/>
    <mergeCell ref="A120:L1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103" zoomScaleNormal="103" zoomScalePageLayoutView="0" workbookViewId="0" topLeftCell="A1">
      <selection activeCell="A1" sqref="A1:M3"/>
    </sheetView>
  </sheetViews>
  <sheetFormatPr defaultColWidth="11.375" defaultRowHeight="12.75"/>
  <cols>
    <col min="1" max="1" width="25.00390625" style="0" customWidth="1"/>
    <col min="2" max="2" width="25.375" style="0" customWidth="1"/>
    <col min="3" max="3" width="17.25390625" style="0" customWidth="1"/>
    <col min="4" max="5" width="11.375" style="0" customWidth="1"/>
    <col min="6" max="6" width="23.75390625" style="0" customWidth="1"/>
    <col min="7" max="7" width="8.125" style="0" customWidth="1"/>
    <col min="8" max="8" width="7.375" style="0" customWidth="1"/>
    <col min="9" max="9" width="7.625" style="0" customWidth="1"/>
    <col min="10" max="10" width="6.875" style="0" customWidth="1"/>
    <col min="11" max="11" width="9.125" style="0" customWidth="1"/>
    <col min="12" max="12" width="11.375" style="0" customWidth="1"/>
    <col min="13" max="13" width="16.75390625" style="0" customWidth="1"/>
  </cols>
  <sheetData>
    <row r="1" spans="1:13" ht="28.5" customHeight="1">
      <c r="A1" s="125" t="s">
        <v>2461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12.7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90" customHeight="1" thickBo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3" ht="15">
      <c r="A4" s="108" t="s">
        <v>0</v>
      </c>
      <c r="B4" s="110" t="s">
        <v>1482</v>
      </c>
      <c r="C4" s="112" t="s">
        <v>1483</v>
      </c>
      <c r="D4" s="112" t="s">
        <v>8</v>
      </c>
      <c r="E4" s="112" t="s">
        <v>1490</v>
      </c>
      <c r="F4" s="112" t="s">
        <v>1491</v>
      </c>
      <c r="G4" s="120" t="s">
        <v>2</v>
      </c>
      <c r="H4" s="121"/>
      <c r="I4" s="121"/>
      <c r="J4" s="122"/>
      <c r="K4" s="123" t="s">
        <v>4</v>
      </c>
      <c r="L4" s="123" t="s">
        <v>6</v>
      </c>
      <c r="M4" s="118" t="s">
        <v>5</v>
      </c>
    </row>
    <row r="5" spans="1:13" ht="15" thickBot="1">
      <c r="A5" s="109"/>
      <c r="B5" s="111"/>
      <c r="C5" s="111"/>
      <c r="D5" s="111"/>
      <c r="E5" s="111"/>
      <c r="F5" s="111"/>
      <c r="G5" s="28" t="s">
        <v>1585</v>
      </c>
      <c r="H5" s="28" t="s">
        <v>1586</v>
      </c>
      <c r="I5" s="28" t="s">
        <v>1587</v>
      </c>
      <c r="J5" s="28" t="s">
        <v>7</v>
      </c>
      <c r="K5" s="124"/>
      <c r="L5" s="124"/>
      <c r="M5" s="119"/>
    </row>
    <row r="6" spans="1:13" ht="15">
      <c r="A6" s="117" t="s">
        <v>21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30"/>
    </row>
    <row r="7" spans="1:13" ht="12.75">
      <c r="A7" s="31" t="s">
        <v>1588</v>
      </c>
      <c r="B7" s="32" t="s">
        <v>1589</v>
      </c>
      <c r="C7" s="32" t="s">
        <v>193</v>
      </c>
      <c r="D7" s="32" t="s">
        <v>1590</v>
      </c>
      <c r="E7" s="32" t="s">
        <v>16</v>
      </c>
      <c r="F7" s="32" t="s">
        <v>1492</v>
      </c>
      <c r="G7" s="32" t="s">
        <v>50</v>
      </c>
      <c r="H7" s="56" t="s">
        <v>180</v>
      </c>
      <c r="I7" s="32" t="s">
        <v>180</v>
      </c>
      <c r="J7" s="56"/>
      <c r="K7" s="41" t="s">
        <v>1591</v>
      </c>
      <c r="L7" s="32" t="s">
        <v>1592</v>
      </c>
      <c r="M7" s="32" t="s">
        <v>1555</v>
      </c>
    </row>
    <row r="8" spans="1:13" ht="12.75">
      <c r="A8" s="33"/>
      <c r="B8" s="29"/>
      <c r="C8" s="29"/>
      <c r="D8" s="29"/>
      <c r="E8" s="30"/>
      <c r="F8" s="30"/>
      <c r="G8" s="29"/>
      <c r="H8" s="29"/>
      <c r="I8" s="29"/>
      <c r="J8" s="29"/>
      <c r="K8" s="33"/>
      <c r="L8" s="29"/>
      <c r="M8" s="30"/>
    </row>
    <row r="9" spans="1:13" ht="15">
      <c r="A9" s="117" t="s">
        <v>46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30"/>
    </row>
    <row r="10" spans="1:13" ht="12.75">
      <c r="A10" s="31" t="s">
        <v>1593</v>
      </c>
      <c r="B10" s="32" t="s">
        <v>1594</v>
      </c>
      <c r="C10" s="32" t="s">
        <v>1595</v>
      </c>
      <c r="D10" s="32" t="s">
        <v>1596</v>
      </c>
      <c r="E10" s="32" t="s">
        <v>16</v>
      </c>
      <c r="F10" s="32" t="s">
        <v>1492</v>
      </c>
      <c r="G10" s="32" t="s">
        <v>225</v>
      </c>
      <c r="H10" s="56"/>
      <c r="I10" s="56"/>
      <c r="J10" s="56"/>
      <c r="K10" s="41" t="s">
        <v>574</v>
      </c>
      <c r="L10" s="32" t="s">
        <v>1597</v>
      </c>
      <c r="M10" s="32" t="s">
        <v>1555</v>
      </c>
    </row>
    <row r="11" spans="1:13" ht="12.75">
      <c r="A11" s="33"/>
      <c r="B11" s="29"/>
      <c r="C11" s="29"/>
      <c r="D11" s="29"/>
      <c r="E11" s="30"/>
      <c r="F11" s="30"/>
      <c r="G11" s="29"/>
      <c r="H11" s="29"/>
      <c r="I11" s="29"/>
      <c r="J11" s="29"/>
      <c r="K11" s="33"/>
      <c r="L11" s="29"/>
      <c r="M11" s="30"/>
    </row>
    <row r="12" spans="1:13" ht="15">
      <c r="A12" s="117" t="s">
        <v>94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30"/>
    </row>
    <row r="13" spans="1:13" ht="12.75">
      <c r="A13" s="31" t="s">
        <v>1598</v>
      </c>
      <c r="B13" s="68" t="s">
        <v>1599</v>
      </c>
      <c r="C13" s="68" t="s">
        <v>1600</v>
      </c>
      <c r="D13" s="68" t="s">
        <v>1601</v>
      </c>
      <c r="E13" s="68" t="s">
        <v>16</v>
      </c>
      <c r="F13" s="68" t="s">
        <v>1602</v>
      </c>
      <c r="G13" s="68" t="s">
        <v>20</v>
      </c>
      <c r="H13" s="68" t="s">
        <v>18</v>
      </c>
      <c r="I13" s="68" t="s">
        <v>24</v>
      </c>
      <c r="J13" s="67"/>
      <c r="K13" s="69" t="s">
        <v>1603</v>
      </c>
      <c r="L13" s="68" t="s">
        <v>1604</v>
      </c>
      <c r="M13" s="68" t="s">
        <v>1605</v>
      </c>
    </row>
    <row r="14" spans="1:13" ht="12.75">
      <c r="A14" s="33"/>
      <c r="B14" s="29"/>
      <c r="C14" s="29"/>
      <c r="D14" s="29"/>
      <c r="E14" s="30"/>
      <c r="F14" s="30"/>
      <c r="G14" s="29"/>
      <c r="H14" s="29"/>
      <c r="I14" s="29"/>
      <c r="J14" s="29"/>
      <c r="K14" s="33"/>
      <c r="L14" s="29"/>
      <c r="M14" s="30"/>
    </row>
    <row r="15" spans="1:13" ht="18">
      <c r="A15" s="34" t="s">
        <v>140</v>
      </c>
      <c r="B15" s="35"/>
      <c r="C15" s="29"/>
      <c r="D15" s="29"/>
      <c r="E15" s="30"/>
      <c r="F15" s="30"/>
      <c r="G15" s="29"/>
      <c r="H15" s="29"/>
      <c r="I15" s="29"/>
      <c r="J15" s="29"/>
      <c r="K15" s="33"/>
      <c r="L15" s="29"/>
      <c r="M15" s="30"/>
    </row>
    <row r="16" spans="1:13" ht="15">
      <c r="A16" s="36" t="s">
        <v>637</v>
      </c>
      <c r="B16" s="27"/>
      <c r="C16" s="29"/>
      <c r="D16" s="29"/>
      <c r="E16" s="30"/>
      <c r="F16" s="30"/>
      <c r="G16" s="29"/>
      <c r="H16" s="29"/>
      <c r="I16" s="29"/>
      <c r="J16" s="29"/>
      <c r="K16" s="33"/>
      <c r="L16" s="29"/>
      <c r="M16" s="30"/>
    </row>
    <row r="17" spans="1:13" ht="14.25">
      <c r="A17" s="37"/>
      <c r="B17" s="38" t="s">
        <v>608</v>
      </c>
      <c r="C17" s="29"/>
      <c r="D17" s="29"/>
      <c r="E17" s="30"/>
      <c r="F17" s="30"/>
      <c r="G17" s="29"/>
      <c r="H17" s="29"/>
      <c r="I17" s="29"/>
      <c r="J17" s="29"/>
      <c r="K17" s="33"/>
      <c r="L17" s="29"/>
      <c r="M17" s="30"/>
    </row>
    <row r="18" spans="1:13" ht="15">
      <c r="A18" s="19" t="s">
        <v>597</v>
      </c>
      <c r="B18" s="39" t="s">
        <v>598</v>
      </c>
      <c r="C18" s="39" t="s">
        <v>599</v>
      </c>
      <c r="D18" s="39" t="s">
        <v>600</v>
      </c>
      <c r="E18" s="39" t="s">
        <v>1606</v>
      </c>
      <c r="F18" s="30"/>
      <c r="G18" s="29"/>
      <c r="H18" s="29"/>
      <c r="I18" s="29"/>
      <c r="J18" s="29"/>
      <c r="K18" s="33"/>
      <c r="L18" s="29"/>
      <c r="M18" s="30"/>
    </row>
    <row r="19" spans="1:13" ht="12.75">
      <c r="A19" s="40" t="s">
        <v>1598</v>
      </c>
      <c r="B19" s="29" t="s">
        <v>1607</v>
      </c>
      <c r="C19" s="29" t="s">
        <v>638</v>
      </c>
      <c r="D19" s="29" t="s">
        <v>24</v>
      </c>
      <c r="E19" s="33" t="s">
        <v>1604</v>
      </c>
      <c r="F19" s="30"/>
      <c r="G19" s="29"/>
      <c r="H19" s="29"/>
      <c r="I19" s="29"/>
      <c r="J19" s="29"/>
      <c r="K19" s="33"/>
      <c r="L19" s="29"/>
      <c r="M19" s="30"/>
    </row>
    <row r="20" spans="1:13" ht="12.75">
      <c r="A20" s="33"/>
      <c r="B20" s="29"/>
      <c r="C20" s="29"/>
      <c r="D20" s="29"/>
      <c r="E20" s="30"/>
      <c r="F20" s="30"/>
      <c r="G20" s="29"/>
      <c r="H20" s="29"/>
      <c r="I20" s="29"/>
      <c r="J20" s="29"/>
      <c r="K20" s="33"/>
      <c r="L20" s="29"/>
      <c r="M20" s="30"/>
    </row>
    <row r="21" spans="1:13" ht="14.25">
      <c r="A21" s="37"/>
      <c r="B21" s="38" t="s">
        <v>617</v>
      </c>
      <c r="C21" s="29"/>
      <c r="D21" s="29"/>
      <c r="E21" s="30"/>
      <c r="F21" s="30"/>
      <c r="G21" s="29"/>
      <c r="H21" s="29"/>
      <c r="I21" s="29"/>
      <c r="J21" s="29"/>
      <c r="K21" s="33"/>
      <c r="L21" s="29"/>
      <c r="M21" s="30"/>
    </row>
    <row r="22" spans="1:13" ht="15">
      <c r="A22" s="19" t="s">
        <v>597</v>
      </c>
      <c r="B22" s="39" t="s">
        <v>598</v>
      </c>
      <c r="C22" s="39" t="s">
        <v>599</v>
      </c>
      <c r="D22" s="39" t="s">
        <v>600</v>
      </c>
      <c r="E22" s="39" t="s">
        <v>1606</v>
      </c>
      <c r="F22" s="30"/>
      <c r="G22" s="29"/>
      <c r="H22" s="29"/>
      <c r="I22" s="29"/>
      <c r="J22" s="29"/>
      <c r="K22" s="33"/>
      <c r="L22" s="29"/>
      <c r="M22" s="30"/>
    </row>
    <row r="23" spans="1:13" ht="12.75">
      <c r="A23" s="40" t="s">
        <v>1588</v>
      </c>
      <c r="B23" s="29" t="s">
        <v>617</v>
      </c>
      <c r="C23" s="29" t="s">
        <v>618</v>
      </c>
      <c r="D23" s="29" t="s">
        <v>180</v>
      </c>
      <c r="E23" s="33" t="s">
        <v>1592</v>
      </c>
      <c r="F23" s="30"/>
      <c r="G23" s="29"/>
      <c r="H23" s="29"/>
      <c r="I23" s="29"/>
      <c r="J23" s="29"/>
      <c r="K23" s="33"/>
      <c r="L23" s="29"/>
      <c r="M23" s="30"/>
    </row>
    <row r="24" spans="1:13" ht="12.75">
      <c r="A24" s="40" t="s">
        <v>1593</v>
      </c>
      <c r="B24" s="29" t="s">
        <v>617</v>
      </c>
      <c r="C24" s="29" t="s">
        <v>1608</v>
      </c>
      <c r="D24" s="29" t="s">
        <v>225</v>
      </c>
      <c r="E24" s="33" t="s">
        <v>1597</v>
      </c>
      <c r="F24" s="30"/>
      <c r="G24" s="29"/>
      <c r="H24" s="29"/>
      <c r="I24" s="29"/>
      <c r="J24" s="29"/>
      <c r="K24" s="33"/>
      <c r="L24" s="29"/>
      <c r="M24" s="30"/>
    </row>
    <row r="25" spans="1:13" ht="12.75">
      <c r="A25" s="33"/>
      <c r="B25" s="29"/>
      <c r="C25" s="29"/>
      <c r="D25" s="29"/>
      <c r="E25" s="30"/>
      <c r="F25" s="30"/>
      <c r="G25" s="29"/>
      <c r="H25" s="29"/>
      <c r="I25" s="29"/>
      <c r="J25" s="29"/>
      <c r="K25" s="33"/>
      <c r="L25" s="29"/>
      <c r="M25" s="30"/>
    </row>
    <row r="26" spans="1:13" ht="12.75">
      <c r="A26" s="33"/>
      <c r="B26" s="29"/>
      <c r="C26" s="29"/>
      <c r="D26" s="29"/>
      <c r="E26" s="30"/>
      <c r="F26" s="30"/>
      <c r="G26" s="29"/>
      <c r="H26" s="29"/>
      <c r="I26" s="29"/>
      <c r="J26" s="29"/>
      <c r="K26" s="33"/>
      <c r="L26" s="29"/>
      <c r="M26" s="30"/>
    </row>
    <row r="27" spans="1:13" ht="12.75">
      <c r="A27" s="33"/>
      <c r="B27" s="29"/>
      <c r="C27" s="29"/>
      <c r="D27" s="29"/>
      <c r="E27" s="30"/>
      <c r="F27" s="30"/>
      <c r="G27" s="29"/>
      <c r="H27" s="29"/>
      <c r="I27" s="29"/>
      <c r="J27" s="29"/>
      <c r="K27" s="33"/>
      <c r="L27" s="29"/>
      <c r="M27" s="30"/>
    </row>
    <row r="28" spans="1:13" ht="12.75">
      <c r="A28" s="33"/>
      <c r="B28" s="29"/>
      <c r="C28" s="29"/>
      <c r="D28" s="29"/>
      <c r="E28" s="30"/>
      <c r="F28" s="30"/>
      <c r="G28" s="29"/>
      <c r="H28" s="29"/>
      <c r="I28" s="29"/>
      <c r="J28" s="29"/>
      <c r="K28" s="33"/>
      <c r="L28" s="29"/>
      <c r="M28" s="30"/>
    </row>
    <row r="29" spans="1:13" ht="12.75">
      <c r="A29" s="33"/>
      <c r="B29" s="29"/>
      <c r="C29" s="29"/>
      <c r="D29" s="29"/>
      <c r="E29" s="30"/>
      <c r="F29" s="30"/>
      <c r="G29" s="29"/>
      <c r="H29" s="29"/>
      <c r="I29" s="29"/>
      <c r="J29" s="29"/>
      <c r="K29" s="33"/>
      <c r="L29" s="29"/>
      <c r="M29" s="30"/>
    </row>
    <row r="30" spans="1:13" ht="12.75">
      <c r="A30" s="33"/>
      <c r="B30" s="29"/>
      <c r="C30" s="29"/>
      <c r="D30" s="29"/>
      <c r="E30" s="30"/>
      <c r="F30" s="30"/>
      <c r="G30" s="29"/>
      <c r="H30" s="29"/>
      <c r="I30" s="29"/>
      <c r="J30" s="29"/>
      <c r="K30" s="33"/>
      <c r="L30" s="29"/>
      <c r="M30" s="30"/>
    </row>
    <row r="31" spans="1:13" ht="12.75">
      <c r="A31" s="33"/>
      <c r="B31" s="29"/>
      <c r="C31" s="29"/>
      <c r="D31" s="29"/>
      <c r="E31" s="30"/>
      <c r="F31" s="30"/>
      <c r="G31" s="29"/>
      <c r="H31" s="29"/>
      <c r="I31" s="29"/>
      <c r="J31" s="29"/>
      <c r="K31" s="33"/>
      <c r="L31" s="29"/>
      <c r="M31" s="30"/>
    </row>
    <row r="32" spans="1:13" ht="12.75">
      <c r="A32" s="33"/>
      <c r="B32" s="29"/>
      <c r="C32" s="29"/>
      <c r="D32" s="29"/>
      <c r="E32" s="30"/>
      <c r="F32" s="30"/>
      <c r="G32" s="29"/>
      <c r="H32" s="29"/>
      <c r="I32" s="29"/>
      <c r="J32" s="29"/>
      <c r="K32" s="33"/>
      <c r="L32" s="29"/>
      <c r="M32" s="30"/>
    </row>
    <row r="33" spans="1:13" ht="12.75">
      <c r="A33" s="33"/>
      <c r="B33" s="29"/>
      <c r="C33" s="29"/>
      <c r="D33" s="29"/>
      <c r="E33" s="30"/>
      <c r="F33" s="30"/>
      <c r="G33" s="29"/>
      <c r="H33" s="29"/>
      <c r="I33" s="29"/>
      <c r="J33" s="29"/>
      <c r="K33" s="33"/>
      <c r="L33" s="29"/>
      <c r="M33" s="30"/>
    </row>
    <row r="41" ht="12.75">
      <c r="F41" t="s">
        <v>1609</v>
      </c>
    </row>
  </sheetData>
  <sheetProtection/>
  <mergeCells count="14">
    <mergeCell ref="K4:K5"/>
    <mergeCell ref="A1:M3"/>
    <mergeCell ref="L4:L5"/>
    <mergeCell ref="M4:M5"/>
    <mergeCell ref="A6:L6"/>
    <mergeCell ref="A9:L9"/>
    <mergeCell ref="A12:L12"/>
    <mergeCell ref="B4:B5"/>
    <mergeCell ref="A4:A5"/>
    <mergeCell ref="C4:C5"/>
    <mergeCell ref="D4:D5"/>
    <mergeCell ref="E4:E5"/>
    <mergeCell ref="F4:F5"/>
    <mergeCell ref="G4:J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4"/>
  <sheetViews>
    <sheetView zoomScale="95" zoomScaleNormal="95" zoomScalePageLayoutView="0" workbookViewId="0" topLeftCell="A1">
      <selection activeCell="A1" sqref="A1:M3"/>
    </sheetView>
  </sheetViews>
  <sheetFormatPr defaultColWidth="11.375" defaultRowHeight="12.75"/>
  <cols>
    <col min="1" max="1" width="23.25390625" style="0" customWidth="1"/>
    <col min="2" max="2" width="25.375" style="0" customWidth="1"/>
    <col min="3" max="3" width="15.75390625" style="0" customWidth="1"/>
    <col min="4" max="4" width="11.375" style="0" customWidth="1"/>
    <col min="5" max="5" width="11.25390625" style="0" customWidth="1"/>
    <col min="6" max="6" width="33.25390625" style="0" customWidth="1"/>
    <col min="7" max="7" width="7.25390625" style="0" customWidth="1"/>
    <col min="8" max="8" width="7.125" style="0" customWidth="1"/>
    <col min="9" max="9" width="6.75390625" style="0" customWidth="1"/>
    <col min="10" max="10" width="7.625" style="0" customWidth="1"/>
    <col min="11" max="12" width="11.375" style="0" customWidth="1"/>
    <col min="13" max="13" width="24.375" style="0" customWidth="1"/>
  </cols>
  <sheetData>
    <row r="1" spans="1:13" ht="57.75" customHeight="1">
      <c r="A1" s="125" t="s">
        <v>2646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12.7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55.5" customHeight="1" thickBo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3" ht="15">
      <c r="A4" s="108" t="s">
        <v>0</v>
      </c>
      <c r="B4" s="110" t="s">
        <v>1482</v>
      </c>
      <c r="C4" s="112" t="s">
        <v>1483</v>
      </c>
      <c r="D4" s="112" t="s">
        <v>8</v>
      </c>
      <c r="E4" s="112" t="s">
        <v>1490</v>
      </c>
      <c r="F4" s="112" t="s">
        <v>1491</v>
      </c>
      <c r="G4" s="120" t="s">
        <v>3</v>
      </c>
      <c r="H4" s="121"/>
      <c r="I4" s="121"/>
      <c r="J4" s="122"/>
      <c r="K4" s="123" t="s">
        <v>4</v>
      </c>
      <c r="L4" s="123" t="s">
        <v>6</v>
      </c>
      <c r="M4" s="118" t="s">
        <v>5</v>
      </c>
    </row>
    <row r="5" spans="1:13" ht="15" thickBot="1">
      <c r="A5" s="109"/>
      <c r="B5" s="111"/>
      <c r="C5" s="111"/>
      <c r="D5" s="111"/>
      <c r="E5" s="111"/>
      <c r="F5" s="111"/>
      <c r="G5" s="28" t="s">
        <v>1585</v>
      </c>
      <c r="H5" s="28" t="s">
        <v>1586</v>
      </c>
      <c r="I5" s="28" t="s">
        <v>1587</v>
      </c>
      <c r="J5" s="28" t="s">
        <v>7</v>
      </c>
      <c r="K5" s="124"/>
      <c r="L5" s="124"/>
      <c r="M5" s="119"/>
    </row>
    <row r="6" spans="1:13" ht="15">
      <c r="A6" s="134" t="s">
        <v>14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4"/>
    </row>
    <row r="7" spans="1:13" ht="12.75">
      <c r="A7" s="7" t="s">
        <v>2463</v>
      </c>
      <c r="B7" s="25" t="s">
        <v>2464</v>
      </c>
      <c r="C7" s="25" t="s">
        <v>2465</v>
      </c>
      <c r="D7" s="25" t="s">
        <v>2466</v>
      </c>
      <c r="E7" s="25" t="s">
        <v>1571</v>
      </c>
      <c r="F7" s="25" t="s">
        <v>1492</v>
      </c>
      <c r="G7" s="25" t="s">
        <v>144</v>
      </c>
      <c r="H7" s="25" t="s">
        <v>45</v>
      </c>
      <c r="I7" s="25" t="s">
        <v>285</v>
      </c>
      <c r="J7" s="51"/>
      <c r="K7" s="25" t="s">
        <v>285</v>
      </c>
      <c r="L7" s="25" t="s">
        <v>2467</v>
      </c>
      <c r="M7" s="25" t="s">
        <v>2468</v>
      </c>
    </row>
    <row r="8" spans="1:13" ht="12.75">
      <c r="A8" s="9" t="s">
        <v>2469</v>
      </c>
      <c r="B8" s="22" t="s">
        <v>2470</v>
      </c>
      <c r="C8" s="22" t="s">
        <v>267</v>
      </c>
      <c r="D8" s="22" t="s">
        <v>2471</v>
      </c>
      <c r="E8" s="22" t="s">
        <v>1571</v>
      </c>
      <c r="F8" s="22" t="s">
        <v>1614</v>
      </c>
      <c r="G8" s="22" t="s">
        <v>25</v>
      </c>
      <c r="H8" s="22" t="s">
        <v>308</v>
      </c>
      <c r="I8" s="22" t="s">
        <v>33</v>
      </c>
      <c r="J8" s="52" t="s">
        <v>130</v>
      </c>
      <c r="K8" s="22" t="s">
        <v>2283</v>
      </c>
      <c r="L8" s="22" t="s">
        <v>2472</v>
      </c>
      <c r="M8" s="22" t="s">
        <v>27</v>
      </c>
    </row>
    <row r="9" spans="1:13" ht="12.75">
      <c r="A9" s="9" t="s">
        <v>1620</v>
      </c>
      <c r="B9" s="22" t="s">
        <v>2473</v>
      </c>
      <c r="C9" s="22" t="s">
        <v>15</v>
      </c>
      <c r="D9" s="22" t="s">
        <v>1622</v>
      </c>
      <c r="E9" s="22" t="s">
        <v>1571</v>
      </c>
      <c r="F9" s="22" t="s">
        <v>1614</v>
      </c>
      <c r="G9" s="22" t="s">
        <v>225</v>
      </c>
      <c r="H9" s="52"/>
      <c r="I9" s="52"/>
      <c r="J9" s="52"/>
      <c r="K9" s="22" t="s">
        <v>225</v>
      </c>
      <c r="L9" s="22" t="s">
        <v>2474</v>
      </c>
      <c r="M9" s="22" t="s">
        <v>27</v>
      </c>
    </row>
    <row r="10" spans="1:13" ht="12.75">
      <c r="A10" s="11" t="s">
        <v>2463</v>
      </c>
      <c r="B10" s="26" t="s">
        <v>2475</v>
      </c>
      <c r="C10" s="26" t="s">
        <v>2465</v>
      </c>
      <c r="D10" s="26" t="s">
        <v>2466</v>
      </c>
      <c r="E10" s="26" t="s">
        <v>1571</v>
      </c>
      <c r="F10" s="26" t="s">
        <v>1492</v>
      </c>
      <c r="G10" s="26" t="s">
        <v>144</v>
      </c>
      <c r="H10" s="26" t="s">
        <v>45</v>
      </c>
      <c r="I10" s="26" t="s">
        <v>285</v>
      </c>
      <c r="J10" s="53"/>
      <c r="K10" s="26" t="s">
        <v>285</v>
      </c>
      <c r="L10" s="26" t="s">
        <v>2467</v>
      </c>
      <c r="M10" s="26" t="s">
        <v>2468</v>
      </c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134" t="s">
        <v>21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4"/>
    </row>
    <row r="13" spans="1:13" ht="12.75">
      <c r="A13" s="5" t="s">
        <v>2034</v>
      </c>
      <c r="B13" s="54" t="s">
        <v>2035</v>
      </c>
      <c r="C13" s="54" t="s">
        <v>184</v>
      </c>
      <c r="D13" s="54" t="s">
        <v>2029</v>
      </c>
      <c r="E13" s="54" t="s">
        <v>1571</v>
      </c>
      <c r="F13" s="54" t="s">
        <v>1614</v>
      </c>
      <c r="G13" s="54" t="s">
        <v>30</v>
      </c>
      <c r="H13" s="54" t="s">
        <v>58</v>
      </c>
      <c r="I13" s="54" t="s">
        <v>38</v>
      </c>
      <c r="J13" s="55"/>
      <c r="K13" s="54" t="s">
        <v>2131</v>
      </c>
      <c r="L13" s="54" t="s">
        <v>2476</v>
      </c>
      <c r="M13" s="54" t="s">
        <v>27</v>
      </c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>
      <c r="A15" s="134" t="s">
        <v>28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4"/>
    </row>
    <row r="16" spans="1:13" ht="12.75">
      <c r="A16" s="7" t="s">
        <v>2477</v>
      </c>
      <c r="B16" s="25" t="s">
        <v>2478</v>
      </c>
      <c r="C16" s="25" t="s">
        <v>272</v>
      </c>
      <c r="D16" s="25" t="s">
        <v>2479</v>
      </c>
      <c r="E16" s="25" t="s">
        <v>16</v>
      </c>
      <c r="F16" s="25" t="s">
        <v>1492</v>
      </c>
      <c r="G16" s="25" t="s">
        <v>33</v>
      </c>
      <c r="H16" s="25" t="s">
        <v>35</v>
      </c>
      <c r="I16" s="51" t="s">
        <v>36</v>
      </c>
      <c r="J16" s="51"/>
      <c r="K16" s="25" t="s">
        <v>2277</v>
      </c>
      <c r="L16" s="25" t="s">
        <v>2480</v>
      </c>
      <c r="M16" s="25" t="s">
        <v>1555</v>
      </c>
    </row>
    <row r="17" spans="1:13" ht="12.75">
      <c r="A17" s="9" t="s">
        <v>2038</v>
      </c>
      <c r="B17" s="22" t="s">
        <v>2039</v>
      </c>
      <c r="C17" s="22" t="s">
        <v>2040</v>
      </c>
      <c r="D17" s="22" t="s">
        <v>2041</v>
      </c>
      <c r="E17" s="22" t="s">
        <v>16</v>
      </c>
      <c r="F17" s="22" t="s">
        <v>101</v>
      </c>
      <c r="G17" s="22" t="s">
        <v>24</v>
      </c>
      <c r="H17" s="22" t="s">
        <v>30</v>
      </c>
      <c r="I17" s="22" t="s">
        <v>25</v>
      </c>
      <c r="J17" s="52"/>
      <c r="K17" s="22" t="s">
        <v>2147</v>
      </c>
      <c r="L17" s="22" t="s">
        <v>2481</v>
      </c>
      <c r="M17" s="22" t="s">
        <v>1555</v>
      </c>
    </row>
    <row r="18" spans="1:13" ht="12.75">
      <c r="A18" s="11" t="s">
        <v>2482</v>
      </c>
      <c r="B18" s="26" t="s">
        <v>159</v>
      </c>
      <c r="C18" s="26" t="s">
        <v>2483</v>
      </c>
      <c r="D18" s="26" t="s">
        <v>2484</v>
      </c>
      <c r="E18" s="26" t="s">
        <v>16</v>
      </c>
      <c r="F18" s="26" t="s">
        <v>2485</v>
      </c>
      <c r="G18" s="26" t="s">
        <v>24</v>
      </c>
      <c r="H18" s="26" t="s">
        <v>30</v>
      </c>
      <c r="I18" s="26" t="s">
        <v>25</v>
      </c>
      <c r="J18" s="53" t="s">
        <v>254</v>
      </c>
      <c r="K18" s="26" t="s">
        <v>2147</v>
      </c>
      <c r="L18" s="26" t="s">
        <v>2486</v>
      </c>
      <c r="M18" s="26" t="s">
        <v>2487</v>
      </c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s="134" t="s">
        <v>32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4"/>
    </row>
    <row r="21" spans="1:13" ht="12.75">
      <c r="A21" s="5" t="s">
        <v>1650</v>
      </c>
      <c r="B21" s="54" t="s">
        <v>1651</v>
      </c>
      <c r="C21" s="54" t="s">
        <v>34</v>
      </c>
      <c r="D21" s="54" t="s">
        <v>1652</v>
      </c>
      <c r="E21" s="54" t="s">
        <v>1653</v>
      </c>
      <c r="F21" s="54" t="s">
        <v>1654</v>
      </c>
      <c r="G21" s="54" t="s">
        <v>33</v>
      </c>
      <c r="H21" s="55"/>
      <c r="I21" s="55"/>
      <c r="J21" s="55"/>
      <c r="K21" s="54" t="s">
        <v>2283</v>
      </c>
      <c r="L21" s="54" t="s">
        <v>2488</v>
      </c>
      <c r="M21" s="54" t="s">
        <v>1555</v>
      </c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134" t="s">
        <v>46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4"/>
    </row>
    <row r="24" spans="1:13" ht="12.75">
      <c r="A24" s="7" t="s">
        <v>2079</v>
      </c>
      <c r="B24" s="25" t="s">
        <v>2080</v>
      </c>
      <c r="C24" s="25" t="s">
        <v>928</v>
      </c>
      <c r="D24" s="25" t="s">
        <v>2081</v>
      </c>
      <c r="E24" s="25" t="s">
        <v>2082</v>
      </c>
      <c r="F24" s="25" t="s">
        <v>2083</v>
      </c>
      <c r="G24" s="25" t="s">
        <v>43</v>
      </c>
      <c r="H24" s="25" t="s">
        <v>48</v>
      </c>
      <c r="I24" s="25" t="s">
        <v>2489</v>
      </c>
      <c r="J24" s="25" t="s">
        <v>57</v>
      </c>
      <c r="K24" s="25" t="s">
        <v>2179</v>
      </c>
      <c r="L24" s="25" t="s">
        <v>2490</v>
      </c>
      <c r="M24" s="25" t="s">
        <v>1555</v>
      </c>
    </row>
    <row r="25" spans="1:13" ht="12.75">
      <c r="A25" s="11" t="s">
        <v>2094</v>
      </c>
      <c r="B25" s="26" t="s">
        <v>2095</v>
      </c>
      <c r="C25" s="26" t="s">
        <v>351</v>
      </c>
      <c r="D25" s="26" t="s">
        <v>2096</v>
      </c>
      <c r="E25" s="26" t="s">
        <v>1571</v>
      </c>
      <c r="F25" s="26" t="s">
        <v>2097</v>
      </c>
      <c r="G25" s="26" t="s">
        <v>99</v>
      </c>
      <c r="H25" s="26" t="s">
        <v>537</v>
      </c>
      <c r="I25" s="26" t="s">
        <v>48</v>
      </c>
      <c r="J25" s="53"/>
      <c r="K25" s="26" t="s">
        <v>2236</v>
      </c>
      <c r="L25" s="26" t="s">
        <v>2491</v>
      </c>
      <c r="M25" s="26" t="s">
        <v>2099</v>
      </c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134" t="s">
        <v>94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4"/>
    </row>
    <row r="28" spans="1:13" ht="12.75">
      <c r="A28" s="5" t="s">
        <v>2492</v>
      </c>
      <c r="B28" s="54" t="s">
        <v>2493</v>
      </c>
      <c r="C28" s="54" t="s">
        <v>100</v>
      </c>
      <c r="D28" s="54" t="s">
        <v>2494</v>
      </c>
      <c r="E28" s="54" t="s">
        <v>1571</v>
      </c>
      <c r="F28" s="54" t="s">
        <v>2495</v>
      </c>
      <c r="G28" s="54" t="s">
        <v>48</v>
      </c>
      <c r="H28" s="54" t="s">
        <v>284</v>
      </c>
      <c r="I28" s="54" t="s">
        <v>317</v>
      </c>
      <c r="J28" s="55"/>
      <c r="K28" s="54" t="s">
        <v>317</v>
      </c>
      <c r="L28" s="54" t="s">
        <v>2496</v>
      </c>
      <c r="M28" s="54" t="s">
        <v>1625</v>
      </c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134" t="s">
        <v>51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4"/>
    </row>
    <row r="31" spans="1:13" ht="12.75">
      <c r="A31" s="5" t="s">
        <v>2497</v>
      </c>
      <c r="B31" s="54" t="s">
        <v>2498</v>
      </c>
      <c r="C31" s="54" t="s">
        <v>2499</v>
      </c>
      <c r="D31" s="54" t="s">
        <v>2500</v>
      </c>
      <c r="E31" s="54" t="s">
        <v>16</v>
      </c>
      <c r="F31" s="54" t="s">
        <v>1492</v>
      </c>
      <c r="G31" s="54" t="s">
        <v>33</v>
      </c>
      <c r="H31" s="54" t="s">
        <v>35</v>
      </c>
      <c r="I31" s="55"/>
      <c r="J31" s="55"/>
      <c r="K31" s="54" t="s">
        <v>2277</v>
      </c>
      <c r="L31" s="54" t="s">
        <v>2501</v>
      </c>
      <c r="M31" s="54" t="s">
        <v>1563</v>
      </c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134" t="s">
        <v>32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4"/>
    </row>
    <row r="34" spans="1:13" ht="12.75">
      <c r="A34" s="5" t="s">
        <v>2502</v>
      </c>
      <c r="B34" s="54" t="s">
        <v>413</v>
      </c>
      <c r="C34" s="54" t="s">
        <v>2503</v>
      </c>
      <c r="D34" s="54" t="s">
        <v>2504</v>
      </c>
      <c r="E34" s="54" t="s">
        <v>16</v>
      </c>
      <c r="F34" s="54" t="s">
        <v>1614</v>
      </c>
      <c r="G34" s="54" t="s">
        <v>20</v>
      </c>
      <c r="H34" s="54" t="s">
        <v>24</v>
      </c>
      <c r="I34" s="54" t="s">
        <v>25</v>
      </c>
      <c r="J34" s="55"/>
      <c r="K34" s="54" t="s">
        <v>2147</v>
      </c>
      <c r="L34" s="54" t="s">
        <v>2505</v>
      </c>
      <c r="M34" s="54" t="s">
        <v>1625</v>
      </c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134" t="s">
        <v>40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4"/>
    </row>
    <row r="37" spans="1:13" ht="12.75">
      <c r="A37" s="7" t="s">
        <v>2506</v>
      </c>
      <c r="B37" s="25" t="s">
        <v>2507</v>
      </c>
      <c r="C37" s="25" t="s">
        <v>253</v>
      </c>
      <c r="D37" s="25" t="s">
        <v>2508</v>
      </c>
      <c r="E37" s="25" t="s">
        <v>1571</v>
      </c>
      <c r="F37" s="25" t="s">
        <v>1492</v>
      </c>
      <c r="G37" s="25" t="s">
        <v>63</v>
      </c>
      <c r="H37" s="51" t="s">
        <v>72</v>
      </c>
      <c r="I37" s="25" t="s">
        <v>451</v>
      </c>
      <c r="J37" s="25" t="s">
        <v>80</v>
      </c>
      <c r="K37" s="25" t="s">
        <v>451</v>
      </c>
      <c r="L37" s="25" t="s">
        <v>2509</v>
      </c>
      <c r="M37" s="25" t="s">
        <v>27</v>
      </c>
    </row>
    <row r="38" spans="1:13" ht="12.75">
      <c r="A38" s="9" t="s">
        <v>2510</v>
      </c>
      <c r="B38" s="22" t="s">
        <v>1002</v>
      </c>
      <c r="C38" s="22" t="s">
        <v>306</v>
      </c>
      <c r="D38" s="22" t="s">
        <v>2135</v>
      </c>
      <c r="E38" s="22" t="s">
        <v>1571</v>
      </c>
      <c r="F38" s="22" t="s">
        <v>1492</v>
      </c>
      <c r="G38" s="52" t="s">
        <v>65</v>
      </c>
      <c r="H38" s="22" t="s">
        <v>63</v>
      </c>
      <c r="I38" s="52" t="s">
        <v>451</v>
      </c>
      <c r="J38" s="52"/>
      <c r="K38" s="22" t="s">
        <v>2511</v>
      </c>
      <c r="L38" s="22" t="s">
        <v>2512</v>
      </c>
      <c r="M38" s="22" t="s">
        <v>27</v>
      </c>
    </row>
    <row r="39" spans="1:13" ht="12.75">
      <c r="A39" s="9" t="s">
        <v>2513</v>
      </c>
      <c r="B39" s="22" t="s">
        <v>2123</v>
      </c>
      <c r="C39" s="22" t="s">
        <v>2514</v>
      </c>
      <c r="D39" s="22" t="s">
        <v>2515</v>
      </c>
      <c r="E39" s="22" t="s">
        <v>1571</v>
      </c>
      <c r="F39" s="22" t="s">
        <v>1798</v>
      </c>
      <c r="G39" s="22" t="s">
        <v>48</v>
      </c>
      <c r="H39" s="52" t="s">
        <v>309</v>
      </c>
      <c r="I39" s="22" t="s">
        <v>309</v>
      </c>
      <c r="J39" s="52"/>
      <c r="K39" s="22" t="s">
        <v>309</v>
      </c>
      <c r="L39" s="22" t="s">
        <v>2516</v>
      </c>
      <c r="M39" s="22" t="s">
        <v>27</v>
      </c>
    </row>
    <row r="40" spans="1:13" ht="12.75">
      <c r="A40" s="9" t="s">
        <v>1700</v>
      </c>
      <c r="B40" s="22" t="s">
        <v>1701</v>
      </c>
      <c r="C40" s="22" t="s">
        <v>1702</v>
      </c>
      <c r="D40" s="22" t="s">
        <v>1703</v>
      </c>
      <c r="E40" s="22" t="s">
        <v>23</v>
      </c>
      <c r="F40" s="22" t="s">
        <v>1496</v>
      </c>
      <c r="G40" s="22" t="s">
        <v>130</v>
      </c>
      <c r="H40" s="52"/>
      <c r="I40" s="52"/>
      <c r="J40" s="52"/>
      <c r="K40" s="22" t="s">
        <v>130</v>
      </c>
      <c r="L40" s="22" t="s">
        <v>2517</v>
      </c>
      <c r="M40" s="22" t="s">
        <v>27</v>
      </c>
    </row>
    <row r="41" spans="1:13" ht="12.75">
      <c r="A41" s="9" t="s">
        <v>1700</v>
      </c>
      <c r="B41" s="22" t="s">
        <v>1701</v>
      </c>
      <c r="C41" s="22" t="s">
        <v>1702</v>
      </c>
      <c r="D41" s="22" t="s">
        <v>1703</v>
      </c>
      <c r="E41" s="22" t="s">
        <v>23</v>
      </c>
      <c r="F41" s="22" t="s">
        <v>1496</v>
      </c>
      <c r="G41" s="52" t="s">
        <v>25</v>
      </c>
      <c r="H41" s="52"/>
      <c r="I41" s="52"/>
      <c r="J41" s="52"/>
      <c r="K41" s="22" t="s">
        <v>2050</v>
      </c>
      <c r="L41" s="22" t="s">
        <v>1636</v>
      </c>
      <c r="M41" s="22" t="s">
        <v>27</v>
      </c>
    </row>
    <row r="42" spans="1:13" ht="12.75">
      <c r="A42" s="11" t="s">
        <v>1706</v>
      </c>
      <c r="B42" s="26" t="s">
        <v>1707</v>
      </c>
      <c r="C42" s="26" t="s">
        <v>1708</v>
      </c>
      <c r="D42" s="26" t="s">
        <v>1709</v>
      </c>
      <c r="E42" s="26" t="s">
        <v>23</v>
      </c>
      <c r="F42" s="26" t="s">
        <v>1496</v>
      </c>
      <c r="G42" s="26" t="s">
        <v>99</v>
      </c>
      <c r="H42" s="53"/>
      <c r="I42" s="53"/>
      <c r="J42" s="53"/>
      <c r="K42" s="26" t="s">
        <v>2185</v>
      </c>
      <c r="L42" s="26" t="s">
        <v>2518</v>
      </c>
      <c r="M42" s="26" t="s">
        <v>27</v>
      </c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134" t="s">
        <v>46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4"/>
    </row>
    <row r="45" spans="1:13" ht="12.75">
      <c r="A45" s="7" t="s">
        <v>2163</v>
      </c>
      <c r="B45" s="25" t="s">
        <v>1713</v>
      </c>
      <c r="C45" s="25" t="s">
        <v>60</v>
      </c>
      <c r="D45" s="25" t="s">
        <v>1714</v>
      </c>
      <c r="E45" s="25" t="s">
        <v>23</v>
      </c>
      <c r="F45" s="25" t="s">
        <v>1496</v>
      </c>
      <c r="G45" s="51" t="s">
        <v>48</v>
      </c>
      <c r="H45" s="25" t="s">
        <v>48</v>
      </c>
      <c r="I45" s="25" t="s">
        <v>44</v>
      </c>
      <c r="J45" s="51"/>
      <c r="K45" s="25" t="s">
        <v>2230</v>
      </c>
      <c r="L45" s="25" t="s">
        <v>2519</v>
      </c>
      <c r="M45" s="25" t="s">
        <v>27</v>
      </c>
    </row>
    <row r="46" spans="1:13" ht="12.75">
      <c r="A46" s="9" t="s">
        <v>2520</v>
      </c>
      <c r="B46" s="22" t="s">
        <v>2521</v>
      </c>
      <c r="C46" s="22" t="s">
        <v>70</v>
      </c>
      <c r="D46" s="22" t="s">
        <v>1718</v>
      </c>
      <c r="E46" s="22" t="s">
        <v>16</v>
      </c>
      <c r="F46" s="22" t="s">
        <v>2522</v>
      </c>
      <c r="G46" s="52" t="s">
        <v>56</v>
      </c>
      <c r="H46" s="22" t="s">
        <v>88</v>
      </c>
      <c r="I46" s="52" t="s">
        <v>74</v>
      </c>
      <c r="J46" s="52"/>
      <c r="K46" s="22" t="s">
        <v>2251</v>
      </c>
      <c r="L46" s="22" t="s">
        <v>2523</v>
      </c>
      <c r="M46" s="22" t="s">
        <v>2524</v>
      </c>
    </row>
    <row r="47" spans="1:13" ht="12.75">
      <c r="A47" s="9" t="s">
        <v>1575</v>
      </c>
      <c r="B47" s="22" t="s">
        <v>2364</v>
      </c>
      <c r="C47" s="22" t="s">
        <v>949</v>
      </c>
      <c r="D47" s="22" t="s">
        <v>2525</v>
      </c>
      <c r="E47" s="22" t="s">
        <v>16</v>
      </c>
      <c r="F47" s="22" t="s">
        <v>1081</v>
      </c>
      <c r="G47" s="22" t="s">
        <v>103</v>
      </c>
      <c r="H47" s="22" t="s">
        <v>2526</v>
      </c>
      <c r="I47" s="52" t="s">
        <v>2527</v>
      </c>
      <c r="J47" s="52"/>
      <c r="K47" s="22" t="s">
        <v>2526</v>
      </c>
      <c r="L47" s="22" t="s">
        <v>2528</v>
      </c>
      <c r="M47" s="22" t="s">
        <v>27</v>
      </c>
    </row>
    <row r="48" spans="1:13" ht="12.75">
      <c r="A48" s="9" t="s">
        <v>1772</v>
      </c>
      <c r="B48" s="22" t="s">
        <v>1773</v>
      </c>
      <c r="C48" s="22" t="s">
        <v>81</v>
      </c>
      <c r="D48" s="22" t="s">
        <v>1774</v>
      </c>
      <c r="E48" s="22" t="s">
        <v>16</v>
      </c>
      <c r="F48" s="22" t="s">
        <v>1507</v>
      </c>
      <c r="G48" s="22" t="s">
        <v>77</v>
      </c>
      <c r="H48" s="22" t="s">
        <v>73</v>
      </c>
      <c r="I48" s="52" t="s">
        <v>390</v>
      </c>
      <c r="J48" s="52"/>
      <c r="K48" s="22" t="s">
        <v>2529</v>
      </c>
      <c r="L48" s="22" t="s">
        <v>2530</v>
      </c>
      <c r="M48" s="22" t="s">
        <v>27</v>
      </c>
    </row>
    <row r="49" spans="1:13" ht="12.75">
      <c r="A49" s="9" t="s">
        <v>1761</v>
      </c>
      <c r="B49" s="22" t="s">
        <v>1762</v>
      </c>
      <c r="C49" s="22" t="s">
        <v>90</v>
      </c>
      <c r="D49" s="22" t="s">
        <v>1763</v>
      </c>
      <c r="E49" s="22" t="s">
        <v>16</v>
      </c>
      <c r="F49" s="22" t="s">
        <v>1764</v>
      </c>
      <c r="G49" s="22" t="s">
        <v>77</v>
      </c>
      <c r="H49" s="52"/>
      <c r="I49" s="52"/>
      <c r="J49" s="52"/>
      <c r="K49" s="22" t="s">
        <v>2531</v>
      </c>
      <c r="L49" s="22" t="s">
        <v>2532</v>
      </c>
      <c r="M49" s="22" t="s">
        <v>27</v>
      </c>
    </row>
    <row r="50" spans="1:13" ht="12.75">
      <c r="A50" s="9" t="s">
        <v>2187</v>
      </c>
      <c r="B50" s="22" t="s">
        <v>2188</v>
      </c>
      <c r="C50" s="22" t="s">
        <v>90</v>
      </c>
      <c r="D50" s="22" t="s">
        <v>1763</v>
      </c>
      <c r="E50" s="22" t="s">
        <v>16</v>
      </c>
      <c r="F50" s="22" t="s">
        <v>108</v>
      </c>
      <c r="G50" s="22" t="s">
        <v>44</v>
      </c>
      <c r="H50" s="22" t="s">
        <v>57</v>
      </c>
      <c r="I50" s="22" t="s">
        <v>68</v>
      </c>
      <c r="J50" s="52"/>
      <c r="K50" s="22" t="s">
        <v>2338</v>
      </c>
      <c r="L50" s="22" t="s">
        <v>2533</v>
      </c>
      <c r="M50" s="22" t="s">
        <v>27</v>
      </c>
    </row>
    <row r="51" spans="1:13" ht="12.75">
      <c r="A51" s="11" t="s">
        <v>2187</v>
      </c>
      <c r="B51" s="26" t="s">
        <v>2199</v>
      </c>
      <c r="C51" s="26" t="s">
        <v>90</v>
      </c>
      <c r="D51" s="26" t="s">
        <v>1763</v>
      </c>
      <c r="E51" s="26" t="s">
        <v>16</v>
      </c>
      <c r="F51" s="26" t="s">
        <v>108</v>
      </c>
      <c r="G51" s="26" t="s">
        <v>44</v>
      </c>
      <c r="H51" s="26" t="s">
        <v>57</v>
      </c>
      <c r="I51" s="26" t="s">
        <v>68</v>
      </c>
      <c r="J51" s="53"/>
      <c r="K51" s="26" t="s">
        <v>2338</v>
      </c>
      <c r="L51" s="26" t="s">
        <v>2534</v>
      </c>
      <c r="M51" s="26" t="s">
        <v>27</v>
      </c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134" t="s">
        <v>94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4"/>
    </row>
    <row r="54" spans="1:13" ht="12.75">
      <c r="A54" s="7" t="s">
        <v>2201</v>
      </c>
      <c r="B54" s="25" t="s">
        <v>2202</v>
      </c>
      <c r="C54" s="25" t="s">
        <v>2203</v>
      </c>
      <c r="D54" s="25" t="s">
        <v>2204</v>
      </c>
      <c r="E54" s="25" t="s">
        <v>16</v>
      </c>
      <c r="F54" s="25" t="s">
        <v>2097</v>
      </c>
      <c r="G54" s="25" t="s">
        <v>43</v>
      </c>
      <c r="H54" s="25" t="s">
        <v>44</v>
      </c>
      <c r="I54" s="25" t="s">
        <v>88</v>
      </c>
      <c r="J54" s="25" t="s">
        <v>57</v>
      </c>
      <c r="K54" s="25" t="s">
        <v>2251</v>
      </c>
      <c r="L54" s="25" t="s">
        <v>2535</v>
      </c>
      <c r="M54" s="25" t="s">
        <v>2536</v>
      </c>
    </row>
    <row r="55" spans="1:13" ht="12.75">
      <c r="A55" s="9" t="s">
        <v>1792</v>
      </c>
      <c r="B55" s="22" t="s">
        <v>1793</v>
      </c>
      <c r="C55" s="22" t="s">
        <v>95</v>
      </c>
      <c r="D55" s="22" t="s">
        <v>1794</v>
      </c>
      <c r="E55" s="22" t="s">
        <v>16</v>
      </c>
      <c r="F55" s="22" t="s">
        <v>41</v>
      </c>
      <c r="G55" s="22" t="s">
        <v>74</v>
      </c>
      <c r="H55" s="22" t="s">
        <v>65</v>
      </c>
      <c r="I55" s="22" t="s">
        <v>63</v>
      </c>
      <c r="J55" s="52"/>
      <c r="K55" s="22" t="s">
        <v>2511</v>
      </c>
      <c r="L55" s="22" t="s">
        <v>2537</v>
      </c>
      <c r="M55" s="22" t="s">
        <v>27</v>
      </c>
    </row>
    <row r="56" spans="1:13" ht="12.75">
      <c r="A56" s="9" t="s">
        <v>2538</v>
      </c>
      <c r="B56" s="22" t="s">
        <v>2539</v>
      </c>
      <c r="C56" s="22" t="s">
        <v>383</v>
      </c>
      <c r="D56" s="22" t="s">
        <v>2268</v>
      </c>
      <c r="E56" s="22" t="s">
        <v>16</v>
      </c>
      <c r="F56" s="22" t="s">
        <v>126</v>
      </c>
      <c r="G56" s="22" t="s">
        <v>2540</v>
      </c>
      <c r="H56" s="22" t="s">
        <v>2541</v>
      </c>
      <c r="I56" s="52" t="s">
        <v>2542</v>
      </c>
      <c r="J56" s="52"/>
      <c r="K56" s="22" t="s">
        <v>2543</v>
      </c>
      <c r="L56" s="22" t="s">
        <v>2544</v>
      </c>
      <c r="M56" s="22" t="s">
        <v>27</v>
      </c>
    </row>
    <row r="57" spans="1:13" ht="12.75">
      <c r="A57" s="9" t="s">
        <v>1801</v>
      </c>
      <c r="B57" s="22" t="s">
        <v>1802</v>
      </c>
      <c r="C57" s="22" t="s">
        <v>97</v>
      </c>
      <c r="D57" s="22" t="s">
        <v>1788</v>
      </c>
      <c r="E57" s="22" t="s">
        <v>2074</v>
      </c>
      <c r="F57" s="22" t="s">
        <v>1497</v>
      </c>
      <c r="G57" s="22" t="s">
        <v>1804</v>
      </c>
      <c r="H57" s="52"/>
      <c r="I57" s="52"/>
      <c r="J57" s="52"/>
      <c r="K57" s="22" t="s">
        <v>2545</v>
      </c>
      <c r="L57" s="22" t="s">
        <v>2546</v>
      </c>
      <c r="M57" s="22" t="s">
        <v>27</v>
      </c>
    </row>
    <row r="58" spans="1:13" ht="12.75">
      <c r="A58" s="9" t="s">
        <v>2547</v>
      </c>
      <c r="B58" s="22" t="s">
        <v>2548</v>
      </c>
      <c r="C58" s="22" t="s">
        <v>383</v>
      </c>
      <c r="D58" s="22" t="s">
        <v>2268</v>
      </c>
      <c r="E58" s="22" t="s">
        <v>16</v>
      </c>
      <c r="F58" s="22" t="s">
        <v>2549</v>
      </c>
      <c r="G58" s="52" t="s">
        <v>620</v>
      </c>
      <c r="H58" s="22" t="s">
        <v>2550</v>
      </c>
      <c r="I58" s="22" t="s">
        <v>624</v>
      </c>
      <c r="J58" s="52"/>
      <c r="K58" s="22" t="s">
        <v>624</v>
      </c>
      <c r="L58" s="22" t="s">
        <v>2551</v>
      </c>
      <c r="M58" s="22" t="s">
        <v>2552</v>
      </c>
    </row>
    <row r="59" spans="1:13" ht="12.75">
      <c r="A59" s="9" t="s">
        <v>2553</v>
      </c>
      <c r="B59" s="22" t="s">
        <v>2554</v>
      </c>
      <c r="C59" s="22" t="s">
        <v>96</v>
      </c>
      <c r="D59" s="22" t="s">
        <v>1797</v>
      </c>
      <c r="E59" s="22" t="s">
        <v>16</v>
      </c>
      <c r="F59" s="22" t="s">
        <v>2555</v>
      </c>
      <c r="G59" s="22" t="s">
        <v>115</v>
      </c>
      <c r="H59" s="52" t="s">
        <v>551</v>
      </c>
      <c r="I59" s="52" t="s">
        <v>551</v>
      </c>
      <c r="J59" s="52"/>
      <c r="K59" s="22" t="s">
        <v>2556</v>
      </c>
      <c r="L59" s="22" t="s">
        <v>2557</v>
      </c>
      <c r="M59" s="22" t="s">
        <v>27</v>
      </c>
    </row>
    <row r="60" spans="1:13" ht="12.75">
      <c r="A60" s="9" t="s">
        <v>2558</v>
      </c>
      <c r="B60" s="22" t="s">
        <v>2559</v>
      </c>
      <c r="C60" s="22" t="s">
        <v>2203</v>
      </c>
      <c r="D60" s="22" t="s">
        <v>2204</v>
      </c>
      <c r="E60" s="22" t="s">
        <v>16</v>
      </c>
      <c r="F60" s="22" t="s">
        <v>436</v>
      </c>
      <c r="G60" s="52" t="s">
        <v>549</v>
      </c>
      <c r="H60" s="52" t="s">
        <v>549</v>
      </c>
      <c r="I60" s="52" t="s">
        <v>549</v>
      </c>
      <c r="J60" s="52"/>
      <c r="K60" s="22" t="s">
        <v>2050</v>
      </c>
      <c r="L60" s="22" t="s">
        <v>1636</v>
      </c>
      <c r="M60" s="22" t="s">
        <v>27</v>
      </c>
    </row>
    <row r="61" spans="1:13" ht="12.75">
      <c r="A61" s="9" t="s">
        <v>2560</v>
      </c>
      <c r="B61" s="22" t="s">
        <v>2561</v>
      </c>
      <c r="C61" s="22" t="s">
        <v>104</v>
      </c>
      <c r="D61" s="22" t="s">
        <v>1840</v>
      </c>
      <c r="E61" s="22" t="s">
        <v>16</v>
      </c>
      <c r="F61" s="22" t="s">
        <v>374</v>
      </c>
      <c r="G61" s="52" t="s">
        <v>115</v>
      </c>
      <c r="H61" s="52" t="s">
        <v>447</v>
      </c>
      <c r="I61" s="52" t="s">
        <v>549</v>
      </c>
      <c r="J61" s="52"/>
      <c r="K61" s="22" t="s">
        <v>2050</v>
      </c>
      <c r="L61" s="22" t="s">
        <v>1636</v>
      </c>
      <c r="M61" s="22" t="s">
        <v>2562</v>
      </c>
    </row>
    <row r="62" spans="1:13" ht="12.75">
      <c r="A62" s="9" t="s">
        <v>2563</v>
      </c>
      <c r="B62" s="22" t="s">
        <v>2564</v>
      </c>
      <c r="C62" s="22" t="s">
        <v>97</v>
      </c>
      <c r="D62" s="22" t="s">
        <v>1788</v>
      </c>
      <c r="E62" s="22" t="s">
        <v>16</v>
      </c>
      <c r="F62" s="22" t="s">
        <v>374</v>
      </c>
      <c r="G62" s="52" t="s">
        <v>77</v>
      </c>
      <c r="H62" s="52"/>
      <c r="I62" s="52"/>
      <c r="J62" s="52"/>
      <c r="K62" s="22" t="s">
        <v>2050</v>
      </c>
      <c r="L62" s="22" t="s">
        <v>1636</v>
      </c>
      <c r="M62" s="22" t="s">
        <v>27</v>
      </c>
    </row>
    <row r="63" spans="1:13" ht="12.75">
      <c r="A63" s="9" t="s">
        <v>1849</v>
      </c>
      <c r="B63" s="22" t="s">
        <v>1850</v>
      </c>
      <c r="C63" s="22" t="s">
        <v>107</v>
      </c>
      <c r="D63" s="22" t="s">
        <v>1851</v>
      </c>
      <c r="E63" s="22" t="s">
        <v>16</v>
      </c>
      <c r="F63" s="22" t="s">
        <v>1852</v>
      </c>
      <c r="G63" s="22" t="s">
        <v>73</v>
      </c>
      <c r="H63" s="52"/>
      <c r="I63" s="52"/>
      <c r="J63" s="52"/>
      <c r="K63" s="22" t="s">
        <v>2529</v>
      </c>
      <c r="L63" s="22" t="s">
        <v>2565</v>
      </c>
      <c r="M63" s="22" t="s">
        <v>27</v>
      </c>
    </row>
    <row r="64" spans="1:13" ht="12.75">
      <c r="A64" s="9" t="s">
        <v>2566</v>
      </c>
      <c r="B64" s="22" t="s">
        <v>2567</v>
      </c>
      <c r="C64" s="22" t="s">
        <v>363</v>
      </c>
      <c r="D64" s="22" t="s">
        <v>2250</v>
      </c>
      <c r="E64" s="22" t="s">
        <v>16</v>
      </c>
      <c r="F64" s="22" t="s">
        <v>335</v>
      </c>
      <c r="G64" s="22" t="s">
        <v>65</v>
      </c>
      <c r="H64" s="22" t="s">
        <v>63</v>
      </c>
      <c r="I64" s="52" t="s">
        <v>116</v>
      </c>
      <c r="J64" s="52"/>
      <c r="K64" s="22" t="s">
        <v>2511</v>
      </c>
      <c r="L64" s="22" t="s">
        <v>2568</v>
      </c>
      <c r="M64" s="22" t="s">
        <v>27</v>
      </c>
    </row>
    <row r="65" spans="1:13" ht="12.75">
      <c r="A65" s="9" t="s">
        <v>2569</v>
      </c>
      <c r="B65" s="22" t="s">
        <v>2570</v>
      </c>
      <c r="C65" s="22" t="s">
        <v>2225</v>
      </c>
      <c r="D65" s="22" t="s">
        <v>2226</v>
      </c>
      <c r="E65" s="22" t="s">
        <v>16</v>
      </c>
      <c r="F65" s="22" t="s">
        <v>2571</v>
      </c>
      <c r="G65" s="22" t="s">
        <v>283</v>
      </c>
      <c r="H65" s="52" t="s">
        <v>49</v>
      </c>
      <c r="I65" s="52"/>
      <c r="J65" s="52"/>
      <c r="K65" s="22" t="s">
        <v>2381</v>
      </c>
      <c r="L65" s="22" t="s">
        <v>2572</v>
      </c>
      <c r="M65" s="22" t="s">
        <v>27</v>
      </c>
    </row>
    <row r="66" spans="1:13" ht="12.75">
      <c r="A66" s="9" t="s">
        <v>1861</v>
      </c>
      <c r="B66" s="22" t="s">
        <v>1862</v>
      </c>
      <c r="C66" s="22" t="s">
        <v>1863</v>
      </c>
      <c r="D66" s="22" t="s">
        <v>1864</v>
      </c>
      <c r="E66" s="22" t="s">
        <v>16</v>
      </c>
      <c r="F66" s="22" t="s">
        <v>2305</v>
      </c>
      <c r="G66" s="22" t="s">
        <v>43</v>
      </c>
      <c r="H66" s="52"/>
      <c r="I66" s="52"/>
      <c r="J66" s="52"/>
      <c r="K66" s="22" t="s">
        <v>2320</v>
      </c>
      <c r="L66" s="22" t="s">
        <v>2573</v>
      </c>
      <c r="M66" s="22" t="s">
        <v>27</v>
      </c>
    </row>
    <row r="67" spans="1:13" ht="12.75">
      <c r="A67" s="11" t="s">
        <v>2308</v>
      </c>
      <c r="B67" s="26" t="s">
        <v>2309</v>
      </c>
      <c r="C67" s="26" t="s">
        <v>95</v>
      </c>
      <c r="D67" s="26" t="s">
        <v>1794</v>
      </c>
      <c r="E67" s="26" t="s">
        <v>16</v>
      </c>
      <c r="F67" s="26" t="s">
        <v>1789</v>
      </c>
      <c r="G67" s="26" t="s">
        <v>33</v>
      </c>
      <c r="H67" s="26" t="s">
        <v>36</v>
      </c>
      <c r="I67" s="26" t="s">
        <v>59</v>
      </c>
      <c r="J67" s="53"/>
      <c r="K67" s="26" t="s">
        <v>2107</v>
      </c>
      <c r="L67" s="26" t="s">
        <v>2574</v>
      </c>
      <c r="M67" s="26" t="s">
        <v>27</v>
      </c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134" t="s">
        <v>111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4"/>
    </row>
    <row r="70" spans="1:13" ht="12.75">
      <c r="A70" s="7" t="s">
        <v>2575</v>
      </c>
      <c r="B70" s="25" t="s">
        <v>2576</v>
      </c>
      <c r="C70" s="25" t="s">
        <v>1923</v>
      </c>
      <c r="D70" s="25" t="s">
        <v>1924</v>
      </c>
      <c r="E70" s="25" t="s">
        <v>16</v>
      </c>
      <c r="F70" s="25" t="s">
        <v>1492</v>
      </c>
      <c r="G70" s="25" t="s">
        <v>77</v>
      </c>
      <c r="H70" s="25" t="s">
        <v>1925</v>
      </c>
      <c r="I70" s="25" t="s">
        <v>1745</v>
      </c>
      <c r="J70" s="51"/>
      <c r="K70" s="25" t="s">
        <v>1745</v>
      </c>
      <c r="L70" s="25" t="s">
        <v>2577</v>
      </c>
      <c r="M70" s="25" t="s">
        <v>27</v>
      </c>
    </row>
    <row r="71" spans="1:13" ht="12.75">
      <c r="A71" s="9" t="s">
        <v>2578</v>
      </c>
      <c r="B71" s="22" t="s">
        <v>2579</v>
      </c>
      <c r="C71" s="22" t="s">
        <v>1899</v>
      </c>
      <c r="D71" s="22" t="s">
        <v>1900</v>
      </c>
      <c r="E71" s="22" t="s">
        <v>1386</v>
      </c>
      <c r="F71" s="22" t="s">
        <v>3198</v>
      </c>
      <c r="G71" s="22" t="s">
        <v>65</v>
      </c>
      <c r="H71" s="52"/>
      <c r="I71" s="52"/>
      <c r="J71" s="52"/>
      <c r="K71" s="22" t="s">
        <v>2581</v>
      </c>
      <c r="L71" s="22" t="s">
        <v>2582</v>
      </c>
      <c r="M71" s="22" t="s">
        <v>27</v>
      </c>
    </row>
    <row r="72" spans="1:13" ht="12.75">
      <c r="A72" s="9" t="s">
        <v>2583</v>
      </c>
      <c r="B72" s="22" t="s">
        <v>2584</v>
      </c>
      <c r="C72" s="22" t="s">
        <v>2499</v>
      </c>
      <c r="D72" s="22" t="s">
        <v>2585</v>
      </c>
      <c r="E72" s="22" t="s">
        <v>16</v>
      </c>
      <c r="F72" s="22" t="s">
        <v>1492</v>
      </c>
      <c r="G72" s="22" t="s">
        <v>550</v>
      </c>
      <c r="H72" s="22" t="s">
        <v>2540</v>
      </c>
      <c r="I72" s="52" t="s">
        <v>2586</v>
      </c>
      <c r="J72" s="52"/>
      <c r="K72" s="22" t="s">
        <v>2587</v>
      </c>
      <c r="L72" s="22" t="s">
        <v>2588</v>
      </c>
      <c r="M72" s="22" t="s">
        <v>27</v>
      </c>
    </row>
    <row r="73" spans="1:13" ht="12.75">
      <c r="A73" s="9" t="s">
        <v>2589</v>
      </c>
      <c r="B73" s="22" t="s">
        <v>2590</v>
      </c>
      <c r="C73" s="22" t="s">
        <v>1875</v>
      </c>
      <c r="D73" s="22" t="s">
        <v>1876</v>
      </c>
      <c r="E73" s="22" t="s">
        <v>16</v>
      </c>
      <c r="F73" s="22" t="s">
        <v>2591</v>
      </c>
      <c r="G73" s="22" t="s">
        <v>1367</v>
      </c>
      <c r="H73" s="52" t="s">
        <v>550</v>
      </c>
      <c r="I73" s="52" t="s">
        <v>550</v>
      </c>
      <c r="J73" s="52"/>
      <c r="K73" s="22" t="s">
        <v>2592</v>
      </c>
      <c r="L73" s="22" t="s">
        <v>2593</v>
      </c>
      <c r="M73" s="22" t="s">
        <v>2594</v>
      </c>
    </row>
    <row r="74" spans="1:13" ht="12.75">
      <c r="A74" s="9" t="s">
        <v>2595</v>
      </c>
      <c r="B74" s="22" t="s">
        <v>2596</v>
      </c>
      <c r="C74" s="22" t="s">
        <v>2597</v>
      </c>
      <c r="D74" s="22" t="s">
        <v>2598</v>
      </c>
      <c r="E74" s="22" t="s">
        <v>16</v>
      </c>
      <c r="F74" s="22" t="s">
        <v>2599</v>
      </c>
      <c r="G74" s="22" t="s">
        <v>485</v>
      </c>
      <c r="H74" s="52" t="s">
        <v>550</v>
      </c>
      <c r="I74" s="52" t="s">
        <v>550</v>
      </c>
      <c r="J74" s="52"/>
      <c r="K74" s="22" t="s">
        <v>2600</v>
      </c>
      <c r="L74" s="22" t="s">
        <v>2601</v>
      </c>
      <c r="M74" s="22" t="s">
        <v>2602</v>
      </c>
    </row>
    <row r="75" spans="1:13" ht="12.75">
      <c r="A75" s="9" t="s">
        <v>2603</v>
      </c>
      <c r="B75" s="22" t="s">
        <v>2604</v>
      </c>
      <c r="C75" s="22" t="s">
        <v>2605</v>
      </c>
      <c r="D75" s="22" t="s">
        <v>2606</v>
      </c>
      <c r="E75" s="22" t="s">
        <v>1484</v>
      </c>
      <c r="F75" s="22" t="s">
        <v>1497</v>
      </c>
      <c r="G75" s="22" t="s">
        <v>83</v>
      </c>
      <c r="H75" s="22" t="s">
        <v>447</v>
      </c>
      <c r="I75" s="52" t="s">
        <v>106</v>
      </c>
      <c r="J75" s="52"/>
      <c r="K75" s="22" t="s">
        <v>447</v>
      </c>
      <c r="L75" s="22" t="s">
        <v>2607</v>
      </c>
      <c r="M75" s="22" t="s">
        <v>2608</v>
      </c>
    </row>
    <row r="76" spans="1:13" ht="12.75">
      <c r="A76" s="9" t="s">
        <v>2609</v>
      </c>
      <c r="B76" s="22" t="s">
        <v>2610</v>
      </c>
      <c r="C76" s="22" t="s">
        <v>1986</v>
      </c>
      <c r="D76" s="22" t="s">
        <v>1987</v>
      </c>
      <c r="E76" s="22" t="s">
        <v>16</v>
      </c>
      <c r="F76" s="22" t="s">
        <v>1492</v>
      </c>
      <c r="G76" s="22" t="s">
        <v>83</v>
      </c>
      <c r="H76" s="52" t="s">
        <v>106</v>
      </c>
      <c r="I76" s="52" t="s">
        <v>106</v>
      </c>
      <c r="J76" s="52"/>
      <c r="K76" s="22" t="s">
        <v>2611</v>
      </c>
      <c r="L76" s="22" t="s">
        <v>2612</v>
      </c>
      <c r="M76" s="22" t="s">
        <v>27</v>
      </c>
    </row>
    <row r="77" spans="1:13" ht="12.75">
      <c r="A77" s="9" t="s">
        <v>1959</v>
      </c>
      <c r="B77" s="22" t="s">
        <v>1960</v>
      </c>
      <c r="C77" s="22" t="s">
        <v>112</v>
      </c>
      <c r="D77" s="22" t="s">
        <v>1879</v>
      </c>
      <c r="E77" s="22" t="s">
        <v>1653</v>
      </c>
      <c r="F77" s="22" t="s">
        <v>1654</v>
      </c>
      <c r="G77" s="22" t="s">
        <v>63</v>
      </c>
      <c r="H77" s="52"/>
      <c r="I77" s="52"/>
      <c r="J77" s="52"/>
      <c r="K77" s="22" t="s">
        <v>2511</v>
      </c>
      <c r="L77" s="22" t="s">
        <v>2613</v>
      </c>
      <c r="M77" s="22" t="s">
        <v>27</v>
      </c>
    </row>
    <row r="78" spans="1:13" ht="12.75">
      <c r="A78" s="9" t="s">
        <v>2614</v>
      </c>
      <c r="B78" s="22" t="s">
        <v>2615</v>
      </c>
      <c r="C78" s="22" t="s">
        <v>1054</v>
      </c>
      <c r="D78" s="22" t="s">
        <v>2616</v>
      </c>
      <c r="E78" s="22" t="s">
        <v>16</v>
      </c>
      <c r="F78" s="22" t="s">
        <v>436</v>
      </c>
      <c r="G78" s="22" t="s">
        <v>63</v>
      </c>
      <c r="H78" s="52" t="s">
        <v>80</v>
      </c>
      <c r="I78" s="52" t="s">
        <v>80</v>
      </c>
      <c r="J78" s="52"/>
      <c r="K78" s="22" t="s">
        <v>2511</v>
      </c>
      <c r="L78" s="22" t="s">
        <v>2617</v>
      </c>
      <c r="M78" s="22" t="s">
        <v>27</v>
      </c>
    </row>
    <row r="79" spans="1:13" ht="12.75">
      <c r="A79" s="9" t="s">
        <v>2618</v>
      </c>
      <c r="B79" s="22" t="s">
        <v>2619</v>
      </c>
      <c r="C79" s="22" t="s">
        <v>442</v>
      </c>
      <c r="D79" s="22" t="s">
        <v>2620</v>
      </c>
      <c r="E79" s="22" t="s">
        <v>1484</v>
      </c>
      <c r="F79" s="22" t="s">
        <v>2621</v>
      </c>
      <c r="G79" s="52" t="s">
        <v>2622</v>
      </c>
      <c r="H79" s="52" t="s">
        <v>2622</v>
      </c>
      <c r="I79" s="52" t="s">
        <v>2622</v>
      </c>
      <c r="J79" s="52"/>
      <c r="K79" s="22" t="s">
        <v>2050</v>
      </c>
      <c r="L79" s="22" t="s">
        <v>1636</v>
      </c>
      <c r="M79" s="22" t="s">
        <v>27</v>
      </c>
    </row>
    <row r="80" spans="1:13" ht="12.75">
      <c r="A80" s="9" t="s">
        <v>2623</v>
      </c>
      <c r="B80" s="22" t="s">
        <v>2624</v>
      </c>
      <c r="C80" s="22" t="s">
        <v>462</v>
      </c>
      <c r="D80" s="22" t="s">
        <v>1889</v>
      </c>
      <c r="E80" s="22" t="s">
        <v>16</v>
      </c>
      <c r="F80" s="22" t="s">
        <v>1614</v>
      </c>
      <c r="G80" s="52" t="s">
        <v>485</v>
      </c>
      <c r="H80" s="52" t="s">
        <v>485</v>
      </c>
      <c r="I80" s="52" t="s">
        <v>485</v>
      </c>
      <c r="J80" s="52"/>
      <c r="K80" s="22" t="s">
        <v>2050</v>
      </c>
      <c r="L80" s="22" t="s">
        <v>1636</v>
      </c>
      <c r="M80" s="22" t="s">
        <v>27</v>
      </c>
    </row>
    <row r="81" spans="1:13" ht="12.75">
      <c r="A81" s="9" t="s">
        <v>2625</v>
      </c>
      <c r="B81" s="22" t="s">
        <v>2626</v>
      </c>
      <c r="C81" s="22" t="s">
        <v>435</v>
      </c>
      <c r="D81" s="22" t="s">
        <v>2393</v>
      </c>
      <c r="E81" s="22" t="s">
        <v>16</v>
      </c>
      <c r="F81" s="22" t="s">
        <v>2627</v>
      </c>
      <c r="G81" s="22" t="s">
        <v>63</v>
      </c>
      <c r="H81" s="22" t="s">
        <v>116</v>
      </c>
      <c r="I81" s="52" t="s">
        <v>1925</v>
      </c>
      <c r="J81" s="52"/>
      <c r="K81" s="22" t="s">
        <v>2628</v>
      </c>
      <c r="L81" s="22" t="s">
        <v>2629</v>
      </c>
      <c r="M81" s="22" t="s">
        <v>27</v>
      </c>
    </row>
    <row r="82" spans="1:13" ht="12.75">
      <c r="A82" s="9" t="s">
        <v>1625</v>
      </c>
      <c r="B82" s="22" t="s">
        <v>2630</v>
      </c>
      <c r="C82" s="22" t="s">
        <v>2631</v>
      </c>
      <c r="D82" s="22" t="s">
        <v>2632</v>
      </c>
      <c r="E82" s="22" t="s">
        <v>16</v>
      </c>
      <c r="F82" s="22" t="s">
        <v>1614</v>
      </c>
      <c r="G82" s="22" t="s">
        <v>48</v>
      </c>
      <c r="H82" s="22" t="s">
        <v>56</v>
      </c>
      <c r="I82" s="22" t="s">
        <v>113</v>
      </c>
      <c r="J82" s="52"/>
      <c r="K82" s="22" t="s">
        <v>2633</v>
      </c>
      <c r="L82" s="22" t="s">
        <v>2634</v>
      </c>
      <c r="M82" s="22" t="s">
        <v>27</v>
      </c>
    </row>
    <row r="83" spans="1:13" ht="12.75">
      <c r="A83" s="9" t="s">
        <v>2635</v>
      </c>
      <c r="B83" s="22" t="s">
        <v>2636</v>
      </c>
      <c r="C83" s="22" t="s">
        <v>2637</v>
      </c>
      <c r="D83" s="22" t="s">
        <v>2638</v>
      </c>
      <c r="E83" s="22" t="s">
        <v>16</v>
      </c>
      <c r="F83" s="22" t="s">
        <v>2639</v>
      </c>
      <c r="G83" s="22" t="s">
        <v>74</v>
      </c>
      <c r="H83" s="22" t="s">
        <v>79</v>
      </c>
      <c r="I83" s="22" t="s">
        <v>77</v>
      </c>
      <c r="J83" s="52"/>
      <c r="K83" s="22" t="s">
        <v>2531</v>
      </c>
      <c r="L83" s="22" t="s">
        <v>2640</v>
      </c>
      <c r="M83" s="22" t="s">
        <v>27</v>
      </c>
    </row>
    <row r="84" spans="1:13" ht="12.75">
      <c r="A84" s="9" t="s">
        <v>1997</v>
      </c>
      <c r="B84" s="22" t="s">
        <v>1998</v>
      </c>
      <c r="C84" s="22" t="s">
        <v>119</v>
      </c>
      <c r="D84" s="22" t="s">
        <v>1946</v>
      </c>
      <c r="E84" s="22" t="s">
        <v>16</v>
      </c>
      <c r="F84" s="22" t="s">
        <v>134</v>
      </c>
      <c r="G84" s="22" t="s">
        <v>77</v>
      </c>
      <c r="H84" s="52"/>
      <c r="I84" s="52"/>
      <c r="J84" s="52"/>
      <c r="K84" s="22" t="s">
        <v>2531</v>
      </c>
      <c r="L84" s="22" t="s">
        <v>2641</v>
      </c>
      <c r="M84" s="22" t="s">
        <v>2000</v>
      </c>
    </row>
    <row r="85" spans="1:13" ht="12.75">
      <c r="A85" s="9" t="s">
        <v>2014</v>
      </c>
      <c r="B85" s="22" t="s">
        <v>2015</v>
      </c>
      <c r="C85" s="22" t="s">
        <v>135</v>
      </c>
      <c r="D85" s="22" t="s">
        <v>2016</v>
      </c>
      <c r="E85" s="22" t="s">
        <v>23</v>
      </c>
      <c r="F85" s="22" t="s">
        <v>2305</v>
      </c>
      <c r="G85" s="22" t="s">
        <v>79</v>
      </c>
      <c r="H85" s="52"/>
      <c r="I85" s="52"/>
      <c r="J85" s="52"/>
      <c r="K85" s="22" t="s">
        <v>2642</v>
      </c>
      <c r="L85" s="22" t="s">
        <v>2643</v>
      </c>
      <c r="M85" s="22" t="s">
        <v>27</v>
      </c>
    </row>
    <row r="86" spans="1:13" ht="12.75">
      <c r="A86" s="11" t="s">
        <v>2603</v>
      </c>
      <c r="B86" s="26" t="s">
        <v>2644</v>
      </c>
      <c r="C86" s="26" t="s">
        <v>2605</v>
      </c>
      <c r="D86" s="26" t="s">
        <v>2606</v>
      </c>
      <c r="E86" s="26" t="s">
        <v>1484</v>
      </c>
      <c r="F86" s="26" t="s">
        <v>1497</v>
      </c>
      <c r="G86" s="26" t="s">
        <v>83</v>
      </c>
      <c r="H86" s="26" t="s">
        <v>447</v>
      </c>
      <c r="I86" s="53" t="s">
        <v>106</v>
      </c>
      <c r="J86" s="53"/>
      <c r="K86" s="26" t="s">
        <v>447</v>
      </c>
      <c r="L86" s="26" t="s">
        <v>2645</v>
      </c>
      <c r="M86" s="26" t="s">
        <v>2608</v>
      </c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">
      <c r="A88" s="134" t="s">
        <v>136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4"/>
    </row>
    <row r="89" spans="1:13" ht="12.75">
      <c r="A89" s="7" t="s">
        <v>2647</v>
      </c>
      <c r="B89" s="25" t="s">
        <v>2648</v>
      </c>
      <c r="C89" s="25" t="s">
        <v>1098</v>
      </c>
      <c r="D89" s="25" t="s">
        <v>2649</v>
      </c>
      <c r="E89" s="25" t="s">
        <v>16</v>
      </c>
      <c r="F89" s="25" t="s">
        <v>889</v>
      </c>
      <c r="G89" s="25" t="s">
        <v>65</v>
      </c>
      <c r="H89" s="25" t="s">
        <v>63</v>
      </c>
      <c r="I89" s="25" t="s">
        <v>77</v>
      </c>
      <c r="J89" s="51"/>
      <c r="K89" s="25" t="s">
        <v>2531</v>
      </c>
      <c r="L89" s="25" t="s">
        <v>2650</v>
      </c>
      <c r="M89" s="25" t="s">
        <v>27</v>
      </c>
    </row>
    <row r="90" spans="1:13" ht="12.75">
      <c r="A90" s="9" t="s">
        <v>2651</v>
      </c>
      <c r="B90" s="22" t="s">
        <v>2652</v>
      </c>
      <c r="C90" s="22" t="s">
        <v>2653</v>
      </c>
      <c r="D90" s="22" t="s">
        <v>2654</v>
      </c>
      <c r="E90" s="22" t="s">
        <v>2655</v>
      </c>
      <c r="F90" s="22" t="s">
        <v>2389</v>
      </c>
      <c r="G90" s="22" t="s">
        <v>2540</v>
      </c>
      <c r="H90" s="22" t="s">
        <v>2656</v>
      </c>
      <c r="I90" s="52" t="s">
        <v>2657</v>
      </c>
      <c r="J90" s="52"/>
      <c r="K90" s="22" t="s">
        <v>2658</v>
      </c>
      <c r="L90" s="22" t="s">
        <v>2659</v>
      </c>
      <c r="M90" s="22" t="s">
        <v>27</v>
      </c>
    </row>
    <row r="91" spans="1:13" ht="12.75">
      <c r="A91" s="9" t="s">
        <v>2660</v>
      </c>
      <c r="B91" s="22" t="s">
        <v>2661</v>
      </c>
      <c r="C91" s="22" t="s">
        <v>2662</v>
      </c>
      <c r="D91" s="22" t="s">
        <v>2663</v>
      </c>
      <c r="E91" s="22" t="s">
        <v>16</v>
      </c>
      <c r="F91" s="22" t="s">
        <v>1492</v>
      </c>
      <c r="G91" s="52" t="s">
        <v>42</v>
      </c>
      <c r="H91" s="22" t="s">
        <v>2540</v>
      </c>
      <c r="I91" s="52" t="s">
        <v>2541</v>
      </c>
      <c r="J91" s="52"/>
      <c r="K91" s="22" t="s">
        <v>2587</v>
      </c>
      <c r="L91" s="22" t="s">
        <v>2664</v>
      </c>
      <c r="M91" s="22" t="s">
        <v>27</v>
      </c>
    </row>
    <row r="92" spans="1:13" ht="12.75">
      <c r="A92" s="9" t="s">
        <v>2665</v>
      </c>
      <c r="B92" s="22" t="s">
        <v>2666</v>
      </c>
      <c r="C92" s="22" t="s">
        <v>2667</v>
      </c>
      <c r="D92" s="22" t="s">
        <v>2668</v>
      </c>
      <c r="E92" s="22" t="s">
        <v>1484</v>
      </c>
      <c r="F92" s="22" t="s">
        <v>2197</v>
      </c>
      <c r="G92" s="22" t="s">
        <v>447</v>
      </c>
      <c r="H92" s="22" t="s">
        <v>551</v>
      </c>
      <c r="I92" s="52" t="s">
        <v>2669</v>
      </c>
      <c r="J92" s="52"/>
      <c r="K92" s="22" t="s">
        <v>2670</v>
      </c>
      <c r="L92" s="22" t="s">
        <v>2671</v>
      </c>
      <c r="M92" s="22" t="s">
        <v>2776</v>
      </c>
    </row>
    <row r="93" spans="1:13" ht="12.75">
      <c r="A93" s="9" t="s">
        <v>2672</v>
      </c>
      <c r="B93" s="22" t="s">
        <v>2673</v>
      </c>
      <c r="C93" s="22" t="s">
        <v>2441</v>
      </c>
      <c r="D93" s="22" t="s">
        <v>2442</v>
      </c>
      <c r="E93" s="22" t="s">
        <v>16</v>
      </c>
      <c r="F93" s="22" t="s">
        <v>47</v>
      </c>
      <c r="G93" s="22" t="s">
        <v>551</v>
      </c>
      <c r="H93" s="52"/>
      <c r="I93" s="52"/>
      <c r="J93" s="52"/>
      <c r="K93" s="22" t="s">
        <v>2670</v>
      </c>
      <c r="L93" s="22" t="s">
        <v>2674</v>
      </c>
      <c r="M93" s="22" t="s">
        <v>27</v>
      </c>
    </row>
    <row r="94" spans="1:13" ht="12.75">
      <c r="A94" s="9" t="s">
        <v>2675</v>
      </c>
      <c r="B94" s="22" t="s">
        <v>2676</v>
      </c>
      <c r="C94" s="22" t="s">
        <v>1139</v>
      </c>
      <c r="D94" s="22" t="s">
        <v>2459</v>
      </c>
      <c r="E94" s="22" t="s">
        <v>23</v>
      </c>
      <c r="F94" s="22" t="s">
        <v>2174</v>
      </c>
      <c r="G94" s="22" t="s">
        <v>106</v>
      </c>
      <c r="H94" s="52"/>
      <c r="I94" s="52"/>
      <c r="J94" s="52"/>
      <c r="K94" s="22" t="s">
        <v>2677</v>
      </c>
      <c r="L94" s="22" t="s">
        <v>2678</v>
      </c>
      <c r="M94" s="22" t="s">
        <v>27</v>
      </c>
    </row>
    <row r="95" spans="1:13" ht="12.75">
      <c r="A95" s="9" t="s">
        <v>2679</v>
      </c>
      <c r="B95" s="22" t="s">
        <v>2680</v>
      </c>
      <c r="C95" s="22" t="s">
        <v>540</v>
      </c>
      <c r="D95" s="22" t="s">
        <v>2681</v>
      </c>
      <c r="E95" s="22" t="s">
        <v>1487</v>
      </c>
      <c r="F95" s="22" t="s">
        <v>341</v>
      </c>
      <c r="G95" s="22" t="s">
        <v>513</v>
      </c>
      <c r="H95" s="52"/>
      <c r="I95" s="52"/>
      <c r="J95" s="52"/>
      <c r="K95" s="22" t="s">
        <v>2682</v>
      </c>
      <c r="L95" s="22" t="s">
        <v>2683</v>
      </c>
      <c r="M95" s="22" t="s">
        <v>27</v>
      </c>
    </row>
    <row r="96" spans="1:13" ht="12.75">
      <c r="A96" s="9" t="s">
        <v>2684</v>
      </c>
      <c r="B96" s="22" t="s">
        <v>2685</v>
      </c>
      <c r="C96" s="22" t="s">
        <v>2686</v>
      </c>
      <c r="D96" s="22" t="s">
        <v>2687</v>
      </c>
      <c r="E96" s="22" t="s">
        <v>2774</v>
      </c>
      <c r="F96" s="22" t="s">
        <v>2688</v>
      </c>
      <c r="G96" s="22" t="s">
        <v>77</v>
      </c>
      <c r="H96" s="22" t="s">
        <v>1745</v>
      </c>
      <c r="I96" s="52" t="s">
        <v>115</v>
      </c>
      <c r="J96" s="52"/>
      <c r="K96" s="22" t="s">
        <v>1745</v>
      </c>
      <c r="L96" s="22" t="s">
        <v>2689</v>
      </c>
      <c r="M96" s="22" t="s">
        <v>27</v>
      </c>
    </row>
    <row r="97" spans="1:13" ht="12.75">
      <c r="A97" s="9" t="s">
        <v>2690</v>
      </c>
      <c r="B97" s="22" t="s">
        <v>2691</v>
      </c>
      <c r="C97" s="22" t="s">
        <v>2692</v>
      </c>
      <c r="D97" s="22" t="s">
        <v>2693</v>
      </c>
      <c r="E97" s="22" t="s">
        <v>16</v>
      </c>
      <c r="F97" s="22" t="s">
        <v>87</v>
      </c>
      <c r="G97" s="52" t="s">
        <v>116</v>
      </c>
      <c r="H97" s="22" t="s">
        <v>73</v>
      </c>
      <c r="I97" s="52" t="s">
        <v>103</v>
      </c>
      <c r="J97" s="52"/>
      <c r="K97" s="22" t="s">
        <v>2529</v>
      </c>
      <c r="L97" s="22" t="s">
        <v>2694</v>
      </c>
      <c r="M97" s="22" t="s">
        <v>2777</v>
      </c>
    </row>
    <row r="98" spans="1:13" ht="12.75">
      <c r="A98" s="9" t="s">
        <v>2665</v>
      </c>
      <c r="B98" s="22" t="s">
        <v>2695</v>
      </c>
      <c r="C98" s="22" t="s">
        <v>2667</v>
      </c>
      <c r="D98" s="22" t="s">
        <v>2668</v>
      </c>
      <c r="E98" s="22" t="s">
        <v>1484</v>
      </c>
      <c r="F98" s="22" t="s">
        <v>2197</v>
      </c>
      <c r="G98" s="22" t="s">
        <v>447</v>
      </c>
      <c r="H98" s="22" t="s">
        <v>551</v>
      </c>
      <c r="I98" s="52" t="s">
        <v>2669</v>
      </c>
      <c r="J98" s="52"/>
      <c r="K98" s="22" t="s">
        <v>2670</v>
      </c>
      <c r="L98" s="22" t="s">
        <v>2671</v>
      </c>
      <c r="M98" s="22" t="s">
        <v>2776</v>
      </c>
    </row>
    <row r="99" spans="1:13" ht="12.75">
      <c r="A99" s="9" t="s">
        <v>2696</v>
      </c>
      <c r="B99" s="22" t="s">
        <v>2697</v>
      </c>
      <c r="C99" s="22" t="s">
        <v>2698</v>
      </c>
      <c r="D99" s="22" t="s">
        <v>2699</v>
      </c>
      <c r="E99" s="22" t="s">
        <v>16</v>
      </c>
      <c r="F99" s="22" t="s">
        <v>1492</v>
      </c>
      <c r="G99" s="22" t="s">
        <v>83</v>
      </c>
      <c r="H99" s="52" t="s">
        <v>115</v>
      </c>
      <c r="I99" s="52"/>
      <c r="J99" s="52"/>
      <c r="K99" s="22" t="s">
        <v>2611</v>
      </c>
      <c r="L99" s="22" t="s">
        <v>2700</v>
      </c>
      <c r="M99" s="22" t="s">
        <v>27</v>
      </c>
    </row>
    <row r="100" spans="1:13" ht="12.75">
      <c r="A100" s="11" t="s">
        <v>2775</v>
      </c>
      <c r="B100" s="26" t="s">
        <v>2458</v>
      </c>
      <c r="C100" s="26" t="s">
        <v>1139</v>
      </c>
      <c r="D100" s="26" t="s">
        <v>2459</v>
      </c>
      <c r="E100" s="26" t="s">
        <v>23</v>
      </c>
      <c r="F100" s="26" t="s">
        <v>1496</v>
      </c>
      <c r="G100" s="26" t="s">
        <v>43</v>
      </c>
      <c r="H100" s="53"/>
      <c r="I100" s="53"/>
      <c r="J100" s="53"/>
      <c r="K100" s="26" t="s">
        <v>2320</v>
      </c>
      <c r="L100" s="26" t="s">
        <v>2701</v>
      </c>
      <c r="M100" s="26" t="s">
        <v>2778</v>
      </c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">
      <c r="A102" s="134" t="s">
        <v>138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4"/>
    </row>
    <row r="103" spans="1:13" ht="12.75">
      <c r="A103" s="7" t="s">
        <v>2702</v>
      </c>
      <c r="B103" s="25" t="s">
        <v>2703</v>
      </c>
      <c r="C103" s="25" t="s">
        <v>2704</v>
      </c>
      <c r="D103" s="25" t="s">
        <v>2705</v>
      </c>
      <c r="E103" s="25" t="s">
        <v>16</v>
      </c>
      <c r="F103" s="25" t="s">
        <v>1063</v>
      </c>
      <c r="G103" s="25" t="s">
        <v>106</v>
      </c>
      <c r="H103" s="25" t="s">
        <v>1367</v>
      </c>
      <c r="I103" s="25" t="s">
        <v>2706</v>
      </c>
      <c r="J103" s="51" t="s">
        <v>2707</v>
      </c>
      <c r="K103" s="25" t="s">
        <v>2587</v>
      </c>
      <c r="L103" s="25" t="s">
        <v>2708</v>
      </c>
      <c r="M103" s="25" t="s">
        <v>3560</v>
      </c>
    </row>
    <row r="104" spans="1:13" ht="12.75">
      <c r="A104" s="9" t="s">
        <v>2709</v>
      </c>
      <c r="B104" s="22" t="s">
        <v>2710</v>
      </c>
      <c r="C104" s="22" t="s">
        <v>2711</v>
      </c>
      <c r="D104" s="22" t="s">
        <v>2712</v>
      </c>
      <c r="E104" s="22" t="s">
        <v>16</v>
      </c>
      <c r="F104" s="22" t="s">
        <v>2713</v>
      </c>
      <c r="G104" s="22" t="s">
        <v>2540</v>
      </c>
      <c r="H104" s="52"/>
      <c r="I104" s="52"/>
      <c r="J104" s="52"/>
      <c r="K104" s="22" t="s">
        <v>2587</v>
      </c>
      <c r="L104" s="22" t="s">
        <v>2714</v>
      </c>
      <c r="M104" s="22" t="s">
        <v>1113</v>
      </c>
    </row>
    <row r="105" spans="1:13" ht="12.75">
      <c r="A105" s="9" t="s">
        <v>2715</v>
      </c>
      <c r="B105" s="22" t="s">
        <v>2716</v>
      </c>
      <c r="C105" s="22" t="s">
        <v>2717</v>
      </c>
      <c r="D105" s="22" t="s">
        <v>2718</v>
      </c>
      <c r="E105" s="22" t="s">
        <v>16</v>
      </c>
      <c r="F105" s="22" t="s">
        <v>374</v>
      </c>
      <c r="G105" s="22" t="s">
        <v>2719</v>
      </c>
      <c r="H105" s="52"/>
      <c r="I105" s="52"/>
      <c r="J105" s="52"/>
      <c r="K105" s="22" t="s">
        <v>2720</v>
      </c>
      <c r="L105" s="22" t="s">
        <v>2721</v>
      </c>
      <c r="M105" s="22" t="s">
        <v>1113</v>
      </c>
    </row>
    <row r="106" spans="1:13" ht="12.75">
      <c r="A106" s="9" t="s">
        <v>2722</v>
      </c>
      <c r="B106" s="22" t="s">
        <v>2723</v>
      </c>
      <c r="C106" s="22" t="s">
        <v>2724</v>
      </c>
      <c r="D106" s="22" t="s">
        <v>2725</v>
      </c>
      <c r="E106" s="22" t="s">
        <v>16</v>
      </c>
      <c r="F106" s="22" t="s">
        <v>108</v>
      </c>
      <c r="G106" s="22" t="s">
        <v>106</v>
      </c>
      <c r="H106" s="22" t="s">
        <v>1367</v>
      </c>
      <c r="I106" s="22" t="s">
        <v>2726</v>
      </c>
      <c r="J106" s="52"/>
      <c r="K106" s="22" t="s">
        <v>2726</v>
      </c>
      <c r="L106" s="22" t="s">
        <v>2727</v>
      </c>
      <c r="M106" s="22" t="s">
        <v>1113</v>
      </c>
    </row>
    <row r="107" spans="1:13" ht="12.75">
      <c r="A107" s="9" t="s">
        <v>1518</v>
      </c>
      <c r="B107" s="22" t="s">
        <v>2728</v>
      </c>
      <c r="C107" s="22" t="s">
        <v>2729</v>
      </c>
      <c r="D107" s="22" t="s">
        <v>2730</v>
      </c>
      <c r="E107" s="22" t="s">
        <v>16</v>
      </c>
      <c r="F107" s="22" t="s">
        <v>1492</v>
      </c>
      <c r="G107" s="22" t="s">
        <v>2622</v>
      </c>
      <c r="H107" s="52"/>
      <c r="I107" s="52"/>
      <c r="J107" s="52"/>
      <c r="K107" s="22" t="s">
        <v>2731</v>
      </c>
      <c r="L107" s="22" t="s">
        <v>2732</v>
      </c>
      <c r="M107" s="22" t="s">
        <v>1113</v>
      </c>
    </row>
    <row r="108" spans="1:13" ht="12.75">
      <c r="A108" s="9" t="s">
        <v>2733</v>
      </c>
      <c r="B108" s="22" t="s">
        <v>2734</v>
      </c>
      <c r="C108" s="22" t="s">
        <v>2735</v>
      </c>
      <c r="D108" s="22" t="s">
        <v>2736</v>
      </c>
      <c r="E108" s="22" t="s">
        <v>1386</v>
      </c>
      <c r="F108" s="22" t="s">
        <v>2779</v>
      </c>
      <c r="G108" s="22" t="s">
        <v>485</v>
      </c>
      <c r="H108" s="22" t="s">
        <v>1804</v>
      </c>
      <c r="I108" s="52" t="s">
        <v>2737</v>
      </c>
      <c r="J108" s="52"/>
      <c r="K108" s="22" t="s">
        <v>2545</v>
      </c>
      <c r="L108" s="22" t="s">
        <v>2738</v>
      </c>
      <c r="M108" s="22" t="s">
        <v>1113</v>
      </c>
    </row>
    <row r="109" spans="1:13" ht="12.75">
      <c r="A109" s="9" t="s">
        <v>2739</v>
      </c>
      <c r="B109" s="22" t="s">
        <v>2740</v>
      </c>
      <c r="C109" s="22" t="s">
        <v>2741</v>
      </c>
      <c r="D109" s="22" t="s">
        <v>2742</v>
      </c>
      <c r="E109" s="22" t="s">
        <v>16</v>
      </c>
      <c r="F109" s="22" t="s">
        <v>224</v>
      </c>
      <c r="G109" s="22" t="s">
        <v>106</v>
      </c>
      <c r="H109" s="22" t="s">
        <v>485</v>
      </c>
      <c r="I109" s="22" t="s">
        <v>624</v>
      </c>
      <c r="J109" s="52"/>
      <c r="K109" s="22" t="s">
        <v>624</v>
      </c>
      <c r="L109" s="22" t="s">
        <v>2743</v>
      </c>
      <c r="M109" s="22" t="s">
        <v>1113</v>
      </c>
    </row>
    <row r="110" spans="1:13" ht="12.75">
      <c r="A110" s="9" t="s">
        <v>2744</v>
      </c>
      <c r="B110" s="22" t="s">
        <v>2745</v>
      </c>
      <c r="C110" s="22" t="s">
        <v>2746</v>
      </c>
      <c r="D110" s="22" t="s">
        <v>2747</v>
      </c>
      <c r="E110" s="22" t="s">
        <v>1653</v>
      </c>
      <c r="F110" s="22" t="s">
        <v>2780</v>
      </c>
      <c r="G110" s="22" t="s">
        <v>115</v>
      </c>
      <c r="H110" s="52" t="s">
        <v>620</v>
      </c>
      <c r="I110" s="52" t="s">
        <v>620</v>
      </c>
      <c r="J110" s="52"/>
      <c r="K110" s="22" t="s">
        <v>2556</v>
      </c>
      <c r="L110" s="22" t="s">
        <v>2748</v>
      </c>
      <c r="M110" s="22" t="s">
        <v>2781</v>
      </c>
    </row>
    <row r="111" spans="1:13" ht="12.75">
      <c r="A111" s="9" t="s">
        <v>2749</v>
      </c>
      <c r="B111" s="22" t="s">
        <v>2750</v>
      </c>
      <c r="C111" s="22" t="s">
        <v>1401</v>
      </c>
      <c r="D111" s="22" t="s">
        <v>2751</v>
      </c>
      <c r="E111" s="22" t="s">
        <v>16</v>
      </c>
      <c r="F111" s="22" t="s">
        <v>1492</v>
      </c>
      <c r="G111" s="22" t="s">
        <v>57</v>
      </c>
      <c r="H111" s="22" t="s">
        <v>79</v>
      </c>
      <c r="I111" s="52" t="s">
        <v>72</v>
      </c>
      <c r="J111" s="52"/>
      <c r="K111" s="22" t="s">
        <v>2642</v>
      </c>
      <c r="L111" s="22" t="s">
        <v>2752</v>
      </c>
      <c r="M111" s="22" t="s">
        <v>1113</v>
      </c>
    </row>
    <row r="112" spans="1:13" ht="12.75">
      <c r="A112" s="11" t="s">
        <v>2753</v>
      </c>
      <c r="B112" s="26" t="s">
        <v>2754</v>
      </c>
      <c r="C112" s="26" t="s">
        <v>2755</v>
      </c>
      <c r="D112" s="26" t="s">
        <v>2756</v>
      </c>
      <c r="E112" s="26" t="s">
        <v>16</v>
      </c>
      <c r="F112" s="26" t="s">
        <v>1614</v>
      </c>
      <c r="G112" s="26" t="s">
        <v>42</v>
      </c>
      <c r="H112" s="26" t="s">
        <v>44</v>
      </c>
      <c r="I112" s="53" t="s">
        <v>49</v>
      </c>
      <c r="J112" s="53"/>
      <c r="K112" s="26" t="s">
        <v>2230</v>
      </c>
      <c r="L112" s="26" t="s">
        <v>2757</v>
      </c>
      <c r="M112" s="26" t="s">
        <v>1113</v>
      </c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5">
      <c r="A114" s="134" t="s">
        <v>576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4"/>
    </row>
    <row r="115" spans="1:13" ht="12.75">
      <c r="A115" s="5" t="s">
        <v>2758</v>
      </c>
      <c r="B115" s="54" t="s">
        <v>2759</v>
      </c>
      <c r="C115" s="54" t="s">
        <v>2760</v>
      </c>
      <c r="D115" s="54" t="s">
        <v>2761</v>
      </c>
      <c r="E115" s="54" t="s">
        <v>1485</v>
      </c>
      <c r="F115" s="54" t="s">
        <v>2174</v>
      </c>
      <c r="G115" s="54" t="s">
        <v>2541</v>
      </c>
      <c r="H115" s="55"/>
      <c r="I115" s="55"/>
      <c r="J115" s="55"/>
      <c r="K115" s="54" t="s">
        <v>2543</v>
      </c>
      <c r="L115" s="54" t="s">
        <v>2762</v>
      </c>
      <c r="M115" s="54" t="s">
        <v>1555</v>
      </c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5">
      <c r="A117" s="134" t="s">
        <v>591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4"/>
    </row>
    <row r="118" spans="1:13" ht="12.75">
      <c r="A118" s="7" t="s">
        <v>2763</v>
      </c>
      <c r="B118" s="25" t="s">
        <v>2764</v>
      </c>
      <c r="C118" s="25" t="s">
        <v>2765</v>
      </c>
      <c r="D118" s="25" t="s">
        <v>2766</v>
      </c>
      <c r="E118" s="25" t="s">
        <v>16</v>
      </c>
      <c r="F118" s="25" t="s">
        <v>1540</v>
      </c>
      <c r="G118" s="25" t="s">
        <v>1804</v>
      </c>
      <c r="H118" s="25" t="s">
        <v>2540</v>
      </c>
      <c r="I118" s="51" t="s">
        <v>2707</v>
      </c>
      <c r="J118" s="51"/>
      <c r="K118" s="25" t="s">
        <v>2587</v>
      </c>
      <c r="L118" s="25" t="s">
        <v>2767</v>
      </c>
      <c r="M118" s="25" t="s">
        <v>27</v>
      </c>
    </row>
    <row r="119" spans="1:13" ht="12.75">
      <c r="A119" s="11" t="s">
        <v>2768</v>
      </c>
      <c r="B119" s="26" t="s">
        <v>2769</v>
      </c>
      <c r="C119" s="26" t="s">
        <v>2770</v>
      </c>
      <c r="D119" s="26" t="s">
        <v>2771</v>
      </c>
      <c r="E119" s="26" t="s">
        <v>16</v>
      </c>
      <c r="F119" s="26" t="s">
        <v>108</v>
      </c>
      <c r="G119" s="26" t="s">
        <v>83</v>
      </c>
      <c r="H119" s="53" t="s">
        <v>549</v>
      </c>
      <c r="I119" s="53" t="s">
        <v>549</v>
      </c>
      <c r="J119" s="53"/>
      <c r="K119" s="26" t="s">
        <v>2611</v>
      </c>
      <c r="L119" s="26" t="s">
        <v>2772</v>
      </c>
      <c r="M119" s="26" t="s">
        <v>27</v>
      </c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8">
      <c r="A122" s="14" t="s">
        <v>140</v>
      </c>
      <c r="B122" s="1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5">
      <c r="A123" s="15" t="s">
        <v>595</v>
      </c>
      <c r="B123" s="1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4.25">
      <c r="A124" s="17"/>
      <c r="B124" s="18" t="s">
        <v>608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">
      <c r="A125" s="19" t="s">
        <v>597</v>
      </c>
      <c r="B125" s="39" t="s">
        <v>598</v>
      </c>
      <c r="C125" s="39" t="s">
        <v>599</v>
      </c>
      <c r="D125" s="39" t="s">
        <v>600</v>
      </c>
      <c r="E125" s="39" t="s">
        <v>601</v>
      </c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16" t="s">
        <v>2463</v>
      </c>
      <c r="B126" s="4" t="s">
        <v>608</v>
      </c>
      <c r="C126" s="4" t="s">
        <v>614</v>
      </c>
      <c r="D126" s="4" t="s">
        <v>285</v>
      </c>
      <c r="E126" s="20" t="s">
        <v>2467</v>
      </c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4.25">
      <c r="A128" s="17"/>
      <c r="B128" s="18" t="s">
        <v>617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5">
      <c r="A129" s="19" t="s">
        <v>597</v>
      </c>
      <c r="B129" s="39" t="s">
        <v>598</v>
      </c>
      <c r="C129" s="39" t="s">
        <v>599</v>
      </c>
      <c r="D129" s="39" t="s">
        <v>600</v>
      </c>
      <c r="E129" s="39" t="s">
        <v>601</v>
      </c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16" t="s">
        <v>2079</v>
      </c>
      <c r="B130" s="4" t="s">
        <v>617</v>
      </c>
      <c r="C130" s="4" t="s">
        <v>1608</v>
      </c>
      <c r="D130" s="4" t="s">
        <v>56</v>
      </c>
      <c r="E130" s="20" t="s">
        <v>2490</v>
      </c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16" t="s">
        <v>2492</v>
      </c>
      <c r="B131" s="4" t="s">
        <v>617</v>
      </c>
      <c r="C131" s="4" t="s">
        <v>638</v>
      </c>
      <c r="D131" s="4" t="s">
        <v>317</v>
      </c>
      <c r="E131" s="20" t="s">
        <v>2496</v>
      </c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16" t="s">
        <v>2469</v>
      </c>
      <c r="B132" s="4" t="s">
        <v>617</v>
      </c>
      <c r="C132" s="4" t="s">
        <v>614</v>
      </c>
      <c r="D132" s="4" t="s">
        <v>33</v>
      </c>
      <c r="E132" s="20" t="s">
        <v>2472</v>
      </c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16" t="s">
        <v>2094</v>
      </c>
      <c r="B133" s="4" t="s">
        <v>617</v>
      </c>
      <c r="C133" s="4" t="s">
        <v>1608</v>
      </c>
      <c r="D133" s="4" t="s">
        <v>48</v>
      </c>
      <c r="E133" s="20" t="s">
        <v>2491</v>
      </c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16" t="s">
        <v>2477</v>
      </c>
      <c r="B134" s="4" t="s">
        <v>617</v>
      </c>
      <c r="C134" s="4" t="s">
        <v>609</v>
      </c>
      <c r="D134" s="4" t="s">
        <v>35</v>
      </c>
      <c r="E134" s="20" t="s">
        <v>2480</v>
      </c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16" t="s">
        <v>1620</v>
      </c>
      <c r="B135" s="4" t="s">
        <v>617</v>
      </c>
      <c r="C135" s="4" t="s">
        <v>614</v>
      </c>
      <c r="D135" s="4" t="s">
        <v>225</v>
      </c>
      <c r="E135" s="20" t="s">
        <v>2474</v>
      </c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16" t="s">
        <v>2038</v>
      </c>
      <c r="B136" s="4" t="s">
        <v>617</v>
      </c>
      <c r="C136" s="4" t="s">
        <v>609</v>
      </c>
      <c r="D136" s="4" t="s">
        <v>25</v>
      </c>
      <c r="E136" s="20" t="s">
        <v>2481</v>
      </c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16" t="s">
        <v>2482</v>
      </c>
      <c r="B137" s="4" t="s">
        <v>617</v>
      </c>
      <c r="C137" s="4" t="s">
        <v>609</v>
      </c>
      <c r="D137" s="4" t="s">
        <v>25</v>
      </c>
      <c r="E137" s="20" t="s">
        <v>2486</v>
      </c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16" t="s">
        <v>1650</v>
      </c>
      <c r="B138" s="4" t="s">
        <v>617</v>
      </c>
      <c r="C138" s="4" t="s">
        <v>2773</v>
      </c>
      <c r="D138" s="4" t="s">
        <v>33</v>
      </c>
      <c r="E138" s="20" t="s">
        <v>2488</v>
      </c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16" t="s">
        <v>2497</v>
      </c>
      <c r="B139" s="4" t="s">
        <v>617</v>
      </c>
      <c r="C139" s="4" t="s">
        <v>1211</v>
      </c>
      <c r="D139" s="4" t="s">
        <v>35</v>
      </c>
      <c r="E139" s="20" t="s">
        <v>2501</v>
      </c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16" t="s">
        <v>2463</v>
      </c>
      <c r="B140" s="4" t="s">
        <v>617</v>
      </c>
      <c r="C140" s="4" t="s">
        <v>614</v>
      </c>
      <c r="D140" s="4" t="s">
        <v>285</v>
      </c>
      <c r="E140" s="20" t="s">
        <v>2467</v>
      </c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4.25">
      <c r="A142" s="17"/>
      <c r="B142" s="18" t="s">
        <v>632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5">
      <c r="A143" s="19" t="s">
        <v>597</v>
      </c>
      <c r="B143" s="39" t="s">
        <v>598</v>
      </c>
      <c r="C143" s="39" t="s">
        <v>599</v>
      </c>
      <c r="D143" s="39" t="s">
        <v>600</v>
      </c>
      <c r="E143" s="39" t="s">
        <v>601</v>
      </c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16" t="s">
        <v>2034</v>
      </c>
      <c r="B144" s="4" t="s">
        <v>727</v>
      </c>
      <c r="C144" s="4" t="s">
        <v>618</v>
      </c>
      <c r="D144" s="4" t="s">
        <v>38</v>
      </c>
      <c r="E144" s="20" t="s">
        <v>2476</v>
      </c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">
      <c r="A147" s="15" t="s">
        <v>637</v>
      </c>
      <c r="B147" s="1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4.25">
      <c r="A148" s="17"/>
      <c r="B148" s="18" t="s">
        <v>596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">
      <c r="A149" s="19" t="s">
        <v>597</v>
      </c>
      <c r="B149" s="39" t="s">
        <v>598</v>
      </c>
      <c r="C149" s="39" t="s">
        <v>599</v>
      </c>
      <c r="D149" s="39" t="s">
        <v>600</v>
      </c>
      <c r="E149" s="39" t="s">
        <v>601</v>
      </c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16" t="s">
        <v>2575</v>
      </c>
      <c r="B150" s="4" t="s">
        <v>605</v>
      </c>
      <c r="C150" s="4" t="s">
        <v>662</v>
      </c>
      <c r="D150" s="4" t="s">
        <v>1745</v>
      </c>
      <c r="E150" s="20" t="s">
        <v>2577</v>
      </c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16" t="s">
        <v>2201</v>
      </c>
      <c r="B151" s="4" t="s">
        <v>605</v>
      </c>
      <c r="C151" s="4" t="s">
        <v>638</v>
      </c>
      <c r="D151" s="4" t="s">
        <v>88</v>
      </c>
      <c r="E151" s="20" t="s">
        <v>2535</v>
      </c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16" t="s">
        <v>2163</v>
      </c>
      <c r="B152" s="4" t="s">
        <v>602</v>
      </c>
      <c r="C152" s="4" t="s">
        <v>1608</v>
      </c>
      <c r="D152" s="4" t="s">
        <v>44</v>
      </c>
      <c r="E152" s="20" t="s">
        <v>2519</v>
      </c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4.25">
      <c r="A154" s="17"/>
      <c r="B154" s="18" t="s">
        <v>608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">
      <c r="A155" s="19" t="s">
        <v>597</v>
      </c>
      <c r="B155" s="39" t="s">
        <v>598</v>
      </c>
      <c r="C155" s="39" t="s">
        <v>599</v>
      </c>
      <c r="D155" s="39" t="s">
        <v>600</v>
      </c>
      <c r="E155" s="39" t="s">
        <v>601</v>
      </c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16" t="s">
        <v>2702</v>
      </c>
      <c r="B156" s="4" t="s">
        <v>608</v>
      </c>
      <c r="C156" s="4" t="s">
        <v>657</v>
      </c>
      <c r="D156" s="4" t="s">
        <v>2540</v>
      </c>
      <c r="E156" s="20" t="s">
        <v>2708</v>
      </c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16" t="s">
        <v>2709</v>
      </c>
      <c r="B157" s="4" t="s">
        <v>608</v>
      </c>
      <c r="C157" s="4" t="s">
        <v>657</v>
      </c>
      <c r="D157" s="4" t="s">
        <v>2540</v>
      </c>
      <c r="E157" s="20" t="s">
        <v>2714</v>
      </c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16" t="s">
        <v>1792</v>
      </c>
      <c r="B158" s="4" t="s">
        <v>608</v>
      </c>
      <c r="C158" s="4" t="s">
        <v>638</v>
      </c>
      <c r="D158" s="4" t="s">
        <v>63</v>
      </c>
      <c r="E158" s="20" t="s">
        <v>2537</v>
      </c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16" t="s">
        <v>2647</v>
      </c>
      <c r="B159" s="4" t="s">
        <v>608</v>
      </c>
      <c r="C159" s="4" t="s">
        <v>649</v>
      </c>
      <c r="D159" s="4" t="s">
        <v>77</v>
      </c>
      <c r="E159" s="20" t="s">
        <v>2650</v>
      </c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16" t="s">
        <v>2578</v>
      </c>
      <c r="B160" s="4" t="s">
        <v>608</v>
      </c>
      <c r="C160" s="4" t="s">
        <v>662</v>
      </c>
      <c r="D160" s="4" t="s">
        <v>65</v>
      </c>
      <c r="E160" s="20" t="s">
        <v>2582</v>
      </c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16" t="s">
        <v>2520</v>
      </c>
      <c r="B161" s="4" t="s">
        <v>608</v>
      </c>
      <c r="C161" s="4" t="s">
        <v>1608</v>
      </c>
      <c r="D161" s="4" t="s">
        <v>88</v>
      </c>
      <c r="E161" s="20" t="s">
        <v>2523</v>
      </c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4.25">
      <c r="A163" s="17"/>
      <c r="B163" s="18" t="s">
        <v>617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">
      <c r="A164" s="19" t="s">
        <v>597</v>
      </c>
      <c r="B164" s="39" t="s">
        <v>598</v>
      </c>
      <c r="C164" s="39" t="s">
        <v>599</v>
      </c>
      <c r="D164" s="39" t="s">
        <v>600</v>
      </c>
      <c r="E164" s="39" t="s">
        <v>601</v>
      </c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16" t="s">
        <v>2538</v>
      </c>
      <c r="B165" s="4" t="s">
        <v>617</v>
      </c>
      <c r="C165" s="4" t="s">
        <v>638</v>
      </c>
      <c r="D165" s="4" t="s">
        <v>2541</v>
      </c>
      <c r="E165" s="20" t="s">
        <v>2544</v>
      </c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16" t="s">
        <v>2715</v>
      </c>
      <c r="B166" s="4" t="s">
        <v>617</v>
      </c>
      <c r="C166" s="4" t="s">
        <v>657</v>
      </c>
      <c r="D166" s="4" t="s">
        <v>2719</v>
      </c>
      <c r="E166" s="20" t="s">
        <v>2721</v>
      </c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16" t="s">
        <v>2583</v>
      </c>
      <c r="B167" s="4" t="s">
        <v>617</v>
      </c>
      <c r="C167" s="4" t="s">
        <v>662</v>
      </c>
      <c r="D167" s="4" t="s">
        <v>2540</v>
      </c>
      <c r="E167" s="20" t="s">
        <v>2588</v>
      </c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16" t="s">
        <v>2651</v>
      </c>
      <c r="B168" s="4" t="s">
        <v>617</v>
      </c>
      <c r="C168" s="4" t="s">
        <v>649</v>
      </c>
      <c r="D168" s="4" t="s">
        <v>2656</v>
      </c>
      <c r="E168" s="20" t="s">
        <v>2659</v>
      </c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16" t="s">
        <v>1801</v>
      </c>
      <c r="B169" s="4" t="s">
        <v>617</v>
      </c>
      <c r="C169" s="4" t="s">
        <v>638</v>
      </c>
      <c r="D169" s="4" t="s">
        <v>1804</v>
      </c>
      <c r="E169" s="20" t="s">
        <v>2546</v>
      </c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16" t="s">
        <v>2547</v>
      </c>
      <c r="B170" s="4" t="s">
        <v>617</v>
      </c>
      <c r="C170" s="4" t="s">
        <v>638</v>
      </c>
      <c r="D170" s="4" t="s">
        <v>624</v>
      </c>
      <c r="E170" s="20" t="s">
        <v>2551</v>
      </c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16" t="s">
        <v>2660</v>
      </c>
      <c r="B171" s="4" t="s">
        <v>617</v>
      </c>
      <c r="C171" s="4" t="s">
        <v>649</v>
      </c>
      <c r="D171" s="4" t="s">
        <v>2540</v>
      </c>
      <c r="E171" s="20" t="s">
        <v>2664</v>
      </c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16" t="s">
        <v>2758</v>
      </c>
      <c r="B172" s="4" t="s">
        <v>617</v>
      </c>
      <c r="C172" s="4" t="s">
        <v>665</v>
      </c>
      <c r="D172" s="4" t="s">
        <v>2541</v>
      </c>
      <c r="E172" s="20" t="s">
        <v>2762</v>
      </c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16" t="s">
        <v>1575</v>
      </c>
      <c r="B173" s="4" t="s">
        <v>617</v>
      </c>
      <c r="C173" s="4" t="s">
        <v>1608</v>
      </c>
      <c r="D173" s="4" t="s">
        <v>2526</v>
      </c>
      <c r="E173" s="20" t="s">
        <v>2528</v>
      </c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16" t="s">
        <v>2589</v>
      </c>
      <c r="B174" s="4" t="s">
        <v>617</v>
      </c>
      <c r="C174" s="4" t="s">
        <v>662</v>
      </c>
      <c r="D174" s="4" t="s">
        <v>1367</v>
      </c>
      <c r="E174" s="20" t="s">
        <v>2593</v>
      </c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16" t="s">
        <v>1518</v>
      </c>
      <c r="B175" s="4" t="s">
        <v>617</v>
      </c>
      <c r="C175" s="4" t="s">
        <v>657</v>
      </c>
      <c r="D175" s="4" t="s">
        <v>2622</v>
      </c>
      <c r="E175" s="20" t="s">
        <v>2732</v>
      </c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16" t="s">
        <v>2722</v>
      </c>
      <c r="B176" s="4" t="s">
        <v>617</v>
      </c>
      <c r="C176" s="4" t="s">
        <v>657</v>
      </c>
      <c r="D176" s="4" t="s">
        <v>2726</v>
      </c>
      <c r="E176" s="20" t="s">
        <v>2727</v>
      </c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16" t="s">
        <v>2595</v>
      </c>
      <c r="B177" s="4" t="s">
        <v>617</v>
      </c>
      <c r="C177" s="4" t="s">
        <v>662</v>
      </c>
      <c r="D177" s="4" t="s">
        <v>485</v>
      </c>
      <c r="E177" s="20" t="s">
        <v>2601</v>
      </c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16" t="s">
        <v>2733</v>
      </c>
      <c r="B178" s="4" t="s">
        <v>617</v>
      </c>
      <c r="C178" s="4" t="s">
        <v>657</v>
      </c>
      <c r="D178" s="4" t="s">
        <v>1804</v>
      </c>
      <c r="E178" s="20" t="s">
        <v>2738</v>
      </c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16" t="s">
        <v>2763</v>
      </c>
      <c r="B179" s="4" t="s">
        <v>617</v>
      </c>
      <c r="C179" s="4" t="s">
        <v>704</v>
      </c>
      <c r="D179" s="4" t="s">
        <v>2540</v>
      </c>
      <c r="E179" s="20" t="s">
        <v>2767</v>
      </c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16" t="s">
        <v>2553</v>
      </c>
      <c r="B180" s="4" t="s">
        <v>617</v>
      </c>
      <c r="C180" s="4" t="s">
        <v>638</v>
      </c>
      <c r="D180" s="4" t="s">
        <v>115</v>
      </c>
      <c r="E180" s="20" t="s">
        <v>2557</v>
      </c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16" t="s">
        <v>2603</v>
      </c>
      <c r="B181" s="4" t="s">
        <v>617</v>
      </c>
      <c r="C181" s="4" t="s">
        <v>662</v>
      </c>
      <c r="D181" s="4" t="s">
        <v>447</v>
      </c>
      <c r="E181" s="20" t="s">
        <v>2607</v>
      </c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16" t="s">
        <v>2506</v>
      </c>
      <c r="B182" s="4" t="s">
        <v>617</v>
      </c>
      <c r="C182" s="4" t="s">
        <v>606</v>
      </c>
      <c r="D182" s="4" t="s">
        <v>451</v>
      </c>
      <c r="E182" s="20" t="s">
        <v>2509</v>
      </c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16" t="s">
        <v>2739</v>
      </c>
      <c r="B183" s="4" t="s">
        <v>617</v>
      </c>
      <c r="C183" s="4" t="s">
        <v>657</v>
      </c>
      <c r="D183" s="4" t="s">
        <v>624</v>
      </c>
      <c r="E183" s="20" t="s">
        <v>2743</v>
      </c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16" t="s">
        <v>1772</v>
      </c>
      <c r="B184" s="4" t="s">
        <v>617</v>
      </c>
      <c r="C184" s="4" t="s">
        <v>1608</v>
      </c>
      <c r="D184" s="4" t="s">
        <v>73</v>
      </c>
      <c r="E184" s="20" t="s">
        <v>2530</v>
      </c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16" t="s">
        <v>2665</v>
      </c>
      <c r="B185" s="4" t="s">
        <v>617</v>
      </c>
      <c r="C185" s="4" t="s">
        <v>649</v>
      </c>
      <c r="D185" s="4" t="s">
        <v>551</v>
      </c>
      <c r="E185" s="20" t="s">
        <v>2671</v>
      </c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16" t="s">
        <v>2672</v>
      </c>
      <c r="B186" s="4" t="s">
        <v>617</v>
      </c>
      <c r="C186" s="4" t="s">
        <v>649</v>
      </c>
      <c r="D186" s="4" t="s">
        <v>551</v>
      </c>
      <c r="E186" s="20" t="s">
        <v>2674</v>
      </c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16" t="s">
        <v>2510</v>
      </c>
      <c r="B187" s="4" t="s">
        <v>617</v>
      </c>
      <c r="C187" s="4" t="s">
        <v>606</v>
      </c>
      <c r="D187" s="4" t="s">
        <v>63</v>
      </c>
      <c r="E187" s="20" t="s">
        <v>2512</v>
      </c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16" t="s">
        <v>2675</v>
      </c>
      <c r="B188" s="4" t="s">
        <v>617</v>
      </c>
      <c r="C188" s="4" t="s">
        <v>649</v>
      </c>
      <c r="D188" s="4" t="s">
        <v>106</v>
      </c>
      <c r="E188" s="20" t="s">
        <v>2678</v>
      </c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4.25">
      <c r="A190" s="17"/>
      <c r="B190" s="18" t="s">
        <v>632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19" t="s">
        <v>597</v>
      </c>
      <c r="B191" s="39" t="s">
        <v>598</v>
      </c>
      <c r="C191" s="39" t="s">
        <v>599</v>
      </c>
      <c r="D191" s="39" t="s">
        <v>600</v>
      </c>
      <c r="E191" s="39" t="s">
        <v>601</v>
      </c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16" t="s">
        <v>2603</v>
      </c>
      <c r="B192" s="4" t="s">
        <v>730</v>
      </c>
      <c r="C192" s="4" t="s">
        <v>662</v>
      </c>
      <c r="D192" s="4" t="s">
        <v>447</v>
      </c>
      <c r="E192" s="20" t="s">
        <v>2645</v>
      </c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16" t="s">
        <v>1997</v>
      </c>
      <c r="B193" s="4" t="s">
        <v>727</v>
      </c>
      <c r="C193" s="4" t="s">
        <v>662</v>
      </c>
      <c r="D193" s="4" t="s">
        <v>77</v>
      </c>
      <c r="E193" s="20" t="s">
        <v>2641</v>
      </c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16" t="s">
        <v>2566</v>
      </c>
      <c r="B194" s="4" t="s">
        <v>727</v>
      </c>
      <c r="C194" s="4" t="s">
        <v>638</v>
      </c>
      <c r="D194" s="4" t="s">
        <v>63</v>
      </c>
      <c r="E194" s="20" t="s">
        <v>2568</v>
      </c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16" t="s">
        <v>2014</v>
      </c>
      <c r="B195" s="4" t="s">
        <v>727</v>
      </c>
      <c r="C195" s="4" t="s">
        <v>662</v>
      </c>
      <c r="D195" s="4" t="s">
        <v>79</v>
      </c>
      <c r="E195" s="20" t="s">
        <v>2643</v>
      </c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16" t="s">
        <v>2635</v>
      </c>
      <c r="B196" s="4" t="s">
        <v>727</v>
      </c>
      <c r="C196" s="4" t="s">
        <v>662</v>
      </c>
      <c r="D196" s="4" t="s">
        <v>77</v>
      </c>
      <c r="E196" s="20" t="s">
        <v>2640</v>
      </c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16" t="s">
        <v>2665</v>
      </c>
      <c r="B197" s="4" t="s">
        <v>633</v>
      </c>
      <c r="C197" s="4" t="s">
        <v>649</v>
      </c>
      <c r="D197" s="4" t="s">
        <v>551</v>
      </c>
      <c r="E197" s="20" t="s">
        <v>2671</v>
      </c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16" t="s">
        <v>2625</v>
      </c>
      <c r="B198" s="4" t="s">
        <v>633</v>
      </c>
      <c r="C198" s="4" t="s">
        <v>662</v>
      </c>
      <c r="D198" s="4" t="s">
        <v>116</v>
      </c>
      <c r="E198" s="20" t="s">
        <v>2629</v>
      </c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16" t="s">
        <v>1849</v>
      </c>
      <c r="B199" s="4" t="s">
        <v>633</v>
      </c>
      <c r="C199" s="4" t="s">
        <v>638</v>
      </c>
      <c r="D199" s="4" t="s">
        <v>73</v>
      </c>
      <c r="E199" s="20" t="s">
        <v>2565</v>
      </c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16" t="s">
        <v>2696</v>
      </c>
      <c r="B200" s="4" t="s">
        <v>633</v>
      </c>
      <c r="C200" s="4" t="s">
        <v>649</v>
      </c>
      <c r="D200" s="4" t="s">
        <v>83</v>
      </c>
      <c r="E200" s="20" t="s">
        <v>2700</v>
      </c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16" t="s">
        <v>2187</v>
      </c>
      <c r="B201" s="4" t="s">
        <v>633</v>
      </c>
      <c r="C201" s="4" t="s">
        <v>1608</v>
      </c>
      <c r="D201" s="4" t="s">
        <v>68</v>
      </c>
      <c r="E201" s="20" t="s">
        <v>2534</v>
      </c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16" t="s">
        <v>2569</v>
      </c>
      <c r="B202" s="4" t="s">
        <v>727</v>
      </c>
      <c r="C202" s="4" t="s">
        <v>638</v>
      </c>
      <c r="D202" s="4" t="s">
        <v>283</v>
      </c>
      <c r="E202" s="20" t="s">
        <v>2572</v>
      </c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16" t="s">
        <v>2753</v>
      </c>
      <c r="B203" s="4" t="s">
        <v>730</v>
      </c>
      <c r="C203" s="4" t="s">
        <v>657</v>
      </c>
      <c r="D203" s="4" t="s">
        <v>44</v>
      </c>
      <c r="E203" s="20" t="s">
        <v>2757</v>
      </c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16" t="s">
        <v>2457</v>
      </c>
      <c r="B204" s="4" t="s">
        <v>730</v>
      </c>
      <c r="C204" s="4" t="s">
        <v>649</v>
      </c>
      <c r="D204" s="4" t="s">
        <v>43</v>
      </c>
      <c r="E204" s="20" t="s">
        <v>2701</v>
      </c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16" t="s">
        <v>1625</v>
      </c>
      <c r="B205" s="4" t="s">
        <v>633</v>
      </c>
      <c r="C205" s="4" t="s">
        <v>662</v>
      </c>
      <c r="D205" s="4" t="s">
        <v>113</v>
      </c>
      <c r="E205" s="20" t="s">
        <v>2634</v>
      </c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16" t="s">
        <v>2749</v>
      </c>
      <c r="B206" s="4" t="s">
        <v>633</v>
      </c>
      <c r="C206" s="4" t="s">
        <v>657</v>
      </c>
      <c r="D206" s="4" t="s">
        <v>79</v>
      </c>
      <c r="E206" s="20" t="s">
        <v>2752</v>
      </c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16" t="s">
        <v>1706</v>
      </c>
      <c r="B207" s="4" t="s">
        <v>727</v>
      </c>
      <c r="C207" s="4" t="s">
        <v>606</v>
      </c>
      <c r="D207" s="4" t="s">
        <v>99</v>
      </c>
      <c r="E207" s="20" t="s">
        <v>2518</v>
      </c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16" t="s">
        <v>1861</v>
      </c>
      <c r="B208" s="4" t="s">
        <v>727</v>
      </c>
      <c r="C208" s="4" t="s">
        <v>638</v>
      </c>
      <c r="D208" s="4" t="s">
        <v>43</v>
      </c>
      <c r="E208" s="20" t="s">
        <v>2573</v>
      </c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16" t="s">
        <v>2308</v>
      </c>
      <c r="B209" s="4" t="s">
        <v>727</v>
      </c>
      <c r="C209" s="4" t="s">
        <v>638</v>
      </c>
      <c r="D209" s="4" t="s">
        <v>59</v>
      </c>
      <c r="E209" s="20" t="s">
        <v>2574</v>
      </c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16" t="s">
        <v>1700</v>
      </c>
      <c r="B210" s="4" t="s">
        <v>633</v>
      </c>
      <c r="C210" s="4" t="s">
        <v>606</v>
      </c>
      <c r="D210" s="4" t="s">
        <v>130</v>
      </c>
      <c r="E210" s="20" t="s">
        <v>2517</v>
      </c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</sheetData>
  <sheetProtection/>
  <mergeCells count="27">
    <mergeCell ref="A12:L12"/>
    <mergeCell ref="K4:K5"/>
    <mergeCell ref="A44:L44"/>
    <mergeCell ref="A1:M3"/>
    <mergeCell ref="A23:L23"/>
    <mergeCell ref="A27:L27"/>
    <mergeCell ref="A30:L30"/>
    <mergeCell ref="A33:L33"/>
    <mergeCell ref="A36:L36"/>
    <mergeCell ref="M4:M5"/>
    <mergeCell ref="A6:L6"/>
    <mergeCell ref="C4:C5"/>
    <mergeCell ref="D4:D5"/>
    <mergeCell ref="E4:E5"/>
    <mergeCell ref="B4:B5"/>
    <mergeCell ref="F4:F5"/>
    <mergeCell ref="G4:J4"/>
    <mergeCell ref="A102:L102"/>
    <mergeCell ref="A114:L114"/>
    <mergeCell ref="A117:L117"/>
    <mergeCell ref="A88:L88"/>
    <mergeCell ref="L4:L5"/>
    <mergeCell ref="A53:L53"/>
    <mergeCell ref="A69:L69"/>
    <mergeCell ref="A15:L15"/>
    <mergeCell ref="A20:L20"/>
    <mergeCell ref="A4:A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8"/>
  <sheetViews>
    <sheetView zoomScale="77" zoomScaleNormal="77" zoomScalePageLayoutView="0" workbookViewId="0" topLeftCell="A1">
      <selection activeCell="S6" sqref="S6"/>
    </sheetView>
  </sheetViews>
  <sheetFormatPr defaultColWidth="11.375" defaultRowHeight="12.75"/>
  <cols>
    <col min="1" max="1" width="23.375" style="0" customWidth="1"/>
    <col min="2" max="2" width="23.875" style="0" customWidth="1"/>
    <col min="3" max="4" width="11.375" style="0" customWidth="1"/>
    <col min="5" max="5" width="12.75390625" style="0" customWidth="1"/>
    <col min="6" max="6" width="31.375" style="0" customWidth="1"/>
    <col min="7" max="8" width="7.875" style="0" customWidth="1"/>
    <col min="9" max="9" width="8.00390625" style="0" customWidth="1"/>
    <col min="10" max="10" width="7.625" style="0" customWidth="1"/>
    <col min="11" max="11" width="7.375" style="0" customWidth="1"/>
    <col min="12" max="12" width="7.875" style="0" customWidth="1"/>
    <col min="13" max="13" width="7.75390625" style="0" customWidth="1"/>
    <col min="14" max="14" width="7.875" style="0" customWidth="1"/>
    <col min="15" max="15" width="7.75390625" style="0" customWidth="1"/>
    <col min="16" max="16" width="8.00390625" style="0" customWidth="1"/>
    <col min="17" max="17" width="7.75390625" style="0" customWidth="1"/>
    <col min="18" max="18" width="8.00390625" style="0" customWidth="1"/>
    <col min="19" max="19" width="9.625" style="0" customWidth="1"/>
    <col min="20" max="20" width="11.375" style="0" customWidth="1"/>
    <col min="21" max="21" width="15.625" style="0" customWidth="1"/>
  </cols>
  <sheetData>
    <row r="1" spans="1:21" ht="57.75" customHeight="1">
      <c r="A1" s="125" t="s">
        <v>3199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7"/>
    </row>
    <row r="2" spans="1:21" ht="30.75" thickBot="1">
      <c r="A2" s="128" t="s">
        <v>3200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</row>
    <row r="3" spans="1:21" ht="25.5" customHeight="1">
      <c r="A3" s="135" t="s">
        <v>0</v>
      </c>
      <c r="B3" s="137" t="s">
        <v>3201</v>
      </c>
      <c r="C3" s="137" t="s">
        <v>3202</v>
      </c>
      <c r="D3" s="123" t="s">
        <v>8</v>
      </c>
      <c r="E3" s="123" t="s">
        <v>3203</v>
      </c>
      <c r="F3" s="123" t="s">
        <v>1491</v>
      </c>
      <c r="G3" s="120" t="s">
        <v>1</v>
      </c>
      <c r="H3" s="121"/>
      <c r="I3" s="121"/>
      <c r="J3" s="122"/>
      <c r="K3" s="120" t="s">
        <v>2</v>
      </c>
      <c r="L3" s="121"/>
      <c r="M3" s="121"/>
      <c r="N3" s="122"/>
      <c r="O3" s="120" t="s">
        <v>3</v>
      </c>
      <c r="P3" s="121"/>
      <c r="Q3" s="121"/>
      <c r="R3" s="122"/>
      <c r="S3" s="123" t="s">
        <v>3204</v>
      </c>
      <c r="T3" s="123" t="s">
        <v>6</v>
      </c>
      <c r="U3" s="118" t="s">
        <v>5</v>
      </c>
    </row>
    <row r="4" spans="1:21" ht="15" thickBot="1">
      <c r="A4" s="136"/>
      <c r="B4" s="138"/>
      <c r="C4" s="138"/>
      <c r="D4" s="124"/>
      <c r="E4" s="124"/>
      <c r="F4" s="124"/>
      <c r="G4" s="28" t="s">
        <v>1585</v>
      </c>
      <c r="H4" s="28" t="s">
        <v>1586</v>
      </c>
      <c r="I4" s="28" t="s">
        <v>1587</v>
      </c>
      <c r="J4" s="28" t="s">
        <v>7</v>
      </c>
      <c r="K4" s="28" t="s">
        <v>1585</v>
      </c>
      <c r="L4" s="28" t="s">
        <v>1586</v>
      </c>
      <c r="M4" s="28" t="s">
        <v>1587</v>
      </c>
      <c r="N4" s="28" t="s">
        <v>7</v>
      </c>
      <c r="O4" s="28" t="s">
        <v>1585</v>
      </c>
      <c r="P4" s="28" t="s">
        <v>1586</v>
      </c>
      <c r="Q4" s="28" t="s">
        <v>1587</v>
      </c>
      <c r="R4" s="28" t="s">
        <v>7</v>
      </c>
      <c r="S4" s="124"/>
      <c r="T4" s="124"/>
      <c r="U4" s="119"/>
    </row>
    <row r="5" spans="1:21" ht="15">
      <c r="A5" s="117" t="s">
        <v>21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30"/>
    </row>
    <row r="6" spans="1:21" ht="12.75">
      <c r="A6" s="31" t="s">
        <v>3205</v>
      </c>
      <c r="B6" s="79" t="s">
        <v>3206</v>
      </c>
      <c r="C6" s="79" t="s">
        <v>3207</v>
      </c>
      <c r="D6" s="79" t="s">
        <v>3208</v>
      </c>
      <c r="E6" s="32" t="s">
        <v>1485</v>
      </c>
      <c r="F6" s="32" t="s">
        <v>1715</v>
      </c>
      <c r="G6" s="79" t="s">
        <v>44</v>
      </c>
      <c r="H6" s="80" t="s">
        <v>57</v>
      </c>
      <c r="I6" s="80" t="s">
        <v>57</v>
      </c>
      <c r="J6" s="80"/>
      <c r="K6" s="79" t="s">
        <v>17</v>
      </c>
      <c r="L6" s="79" t="s">
        <v>20</v>
      </c>
      <c r="M6" s="80" t="s">
        <v>18</v>
      </c>
      <c r="N6" s="79" t="s">
        <v>18</v>
      </c>
      <c r="O6" s="79" t="s">
        <v>43</v>
      </c>
      <c r="P6" s="79" t="s">
        <v>121</v>
      </c>
      <c r="Q6" s="80" t="s">
        <v>2236</v>
      </c>
      <c r="R6" s="80"/>
      <c r="S6" s="41" t="s">
        <v>3575</v>
      </c>
      <c r="T6" s="79" t="s">
        <v>3574</v>
      </c>
      <c r="U6" s="32" t="s">
        <v>3209</v>
      </c>
    </row>
    <row r="7" spans="1:21" ht="12.75">
      <c r="A7" s="33"/>
      <c r="B7" s="29"/>
      <c r="C7" s="29"/>
      <c r="D7" s="29"/>
      <c r="E7" s="30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3"/>
      <c r="T7" s="29"/>
      <c r="U7" s="30"/>
    </row>
    <row r="8" spans="1:21" ht="15">
      <c r="A8" s="117" t="s">
        <v>32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30"/>
    </row>
    <row r="9" spans="1:21" ht="12.75">
      <c r="A9" s="42" t="s">
        <v>3210</v>
      </c>
      <c r="B9" s="73" t="s">
        <v>3211</v>
      </c>
      <c r="C9" s="73" t="s">
        <v>1311</v>
      </c>
      <c r="D9" s="73" t="s">
        <v>3212</v>
      </c>
      <c r="E9" s="43" t="s">
        <v>78</v>
      </c>
      <c r="F9" s="43" t="s">
        <v>3213</v>
      </c>
      <c r="G9" s="73" t="s">
        <v>48</v>
      </c>
      <c r="H9" s="73" t="s">
        <v>44</v>
      </c>
      <c r="I9" s="74" t="s">
        <v>56</v>
      </c>
      <c r="J9" s="73" t="s">
        <v>56</v>
      </c>
      <c r="K9" s="73" t="s">
        <v>30</v>
      </c>
      <c r="L9" s="73" t="s">
        <v>25</v>
      </c>
      <c r="M9" s="74" t="s">
        <v>254</v>
      </c>
      <c r="N9" s="74"/>
      <c r="O9" s="73" t="s">
        <v>48</v>
      </c>
      <c r="P9" s="73" t="s">
        <v>3214</v>
      </c>
      <c r="Q9" s="73" t="s">
        <v>307</v>
      </c>
      <c r="R9" s="73" t="s">
        <v>370</v>
      </c>
      <c r="S9" s="44" t="s">
        <v>3215</v>
      </c>
      <c r="T9" s="73" t="s">
        <v>3216</v>
      </c>
      <c r="U9" s="43" t="s">
        <v>3217</v>
      </c>
    </row>
    <row r="10" spans="1:21" ht="12.75">
      <c r="A10" s="48" t="s">
        <v>3218</v>
      </c>
      <c r="B10" s="77" t="s">
        <v>3219</v>
      </c>
      <c r="C10" s="77" t="s">
        <v>2060</v>
      </c>
      <c r="D10" s="77" t="s">
        <v>2061</v>
      </c>
      <c r="E10" s="49" t="s">
        <v>16</v>
      </c>
      <c r="F10" s="49" t="s">
        <v>521</v>
      </c>
      <c r="G10" s="78" t="s">
        <v>283</v>
      </c>
      <c r="H10" s="77" t="s">
        <v>283</v>
      </c>
      <c r="I10" s="78" t="s">
        <v>49</v>
      </c>
      <c r="J10" s="78" t="s">
        <v>49</v>
      </c>
      <c r="K10" s="77" t="s">
        <v>50</v>
      </c>
      <c r="L10" s="77" t="s">
        <v>17</v>
      </c>
      <c r="M10" s="78" t="s">
        <v>110</v>
      </c>
      <c r="N10" s="78" t="s">
        <v>110</v>
      </c>
      <c r="O10" s="77" t="s">
        <v>56</v>
      </c>
      <c r="P10" s="77" t="s">
        <v>74</v>
      </c>
      <c r="Q10" s="77" t="s">
        <v>508</v>
      </c>
      <c r="R10" s="77" t="s">
        <v>63</v>
      </c>
      <c r="S10" s="50" t="s">
        <v>3220</v>
      </c>
      <c r="T10" s="77" t="s">
        <v>3221</v>
      </c>
      <c r="U10" s="49" t="s">
        <v>3209</v>
      </c>
    </row>
    <row r="11" spans="1:21" ht="12.75">
      <c r="A11" s="33"/>
      <c r="B11" s="29"/>
      <c r="C11" s="29"/>
      <c r="D11" s="29"/>
      <c r="E11" s="30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3"/>
      <c r="T11" s="29"/>
      <c r="U11" s="30"/>
    </row>
    <row r="12" spans="1:21" ht="15">
      <c r="A12" s="117" t="s">
        <v>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30"/>
    </row>
    <row r="13" spans="1:21" ht="12.75">
      <c r="A13" s="31" t="s">
        <v>3222</v>
      </c>
      <c r="B13" s="79" t="s">
        <v>3223</v>
      </c>
      <c r="C13" s="79" t="s">
        <v>320</v>
      </c>
      <c r="D13" s="79" t="s">
        <v>3224</v>
      </c>
      <c r="E13" s="32" t="s">
        <v>16</v>
      </c>
      <c r="F13" s="32" t="s">
        <v>1526</v>
      </c>
      <c r="G13" s="80" t="s">
        <v>57</v>
      </c>
      <c r="H13" s="79" t="s">
        <v>57</v>
      </c>
      <c r="I13" s="79" t="s">
        <v>74</v>
      </c>
      <c r="J13" s="79" t="s">
        <v>65</v>
      </c>
      <c r="K13" s="79" t="s">
        <v>24</v>
      </c>
      <c r="L13" s="79" t="s">
        <v>216</v>
      </c>
      <c r="M13" s="80" t="s">
        <v>58</v>
      </c>
      <c r="N13" s="79" t="s">
        <v>58</v>
      </c>
      <c r="O13" s="79" t="s">
        <v>42</v>
      </c>
      <c r="P13" s="79" t="s">
        <v>537</v>
      </c>
      <c r="Q13" s="79" t="s">
        <v>342</v>
      </c>
      <c r="R13" s="79" t="s">
        <v>3225</v>
      </c>
      <c r="S13" s="41" t="s">
        <v>3226</v>
      </c>
      <c r="T13" s="79" t="s">
        <v>3227</v>
      </c>
      <c r="U13" s="32" t="s">
        <v>3209</v>
      </c>
    </row>
    <row r="14" spans="1:21" ht="12.75">
      <c r="A14" s="33"/>
      <c r="B14" s="29"/>
      <c r="C14" s="29"/>
      <c r="D14" s="29"/>
      <c r="E14" s="30"/>
      <c r="F14" s="30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3"/>
      <c r="T14" s="29"/>
      <c r="U14" s="30"/>
    </row>
    <row r="15" spans="1:21" ht="15">
      <c r="A15" s="117" t="s">
        <v>46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30"/>
    </row>
    <row r="16" spans="1:21" ht="12.75">
      <c r="A16" s="31" t="s">
        <v>3228</v>
      </c>
      <c r="B16" s="79" t="s">
        <v>3229</v>
      </c>
      <c r="C16" s="79" t="s">
        <v>3230</v>
      </c>
      <c r="D16" s="79" t="s">
        <v>3231</v>
      </c>
      <c r="E16" s="32" t="s">
        <v>16</v>
      </c>
      <c r="F16" s="32" t="s">
        <v>3232</v>
      </c>
      <c r="G16" s="79" t="s">
        <v>42</v>
      </c>
      <c r="H16" s="79" t="s">
        <v>43</v>
      </c>
      <c r="I16" s="79" t="s">
        <v>536</v>
      </c>
      <c r="J16" s="79" t="s">
        <v>342</v>
      </c>
      <c r="K16" s="79" t="s">
        <v>45</v>
      </c>
      <c r="L16" s="80" t="s">
        <v>285</v>
      </c>
      <c r="M16" s="80" t="s">
        <v>285</v>
      </c>
      <c r="N16" s="80"/>
      <c r="O16" s="79" t="s">
        <v>42</v>
      </c>
      <c r="P16" s="79" t="s">
        <v>43</v>
      </c>
      <c r="Q16" s="80" t="s">
        <v>48</v>
      </c>
      <c r="R16" s="80" t="s">
        <v>48</v>
      </c>
      <c r="S16" s="41" t="s">
        <v>3233</v>
      </c>
      <c r="T16" s="79" t="s">
        <v>3234</v>
      </c>
      <c r="U16" s="32" t="s">
        <v>3235</v>
      </c>
    </row>
    <row r="17" spans="1:21" ht="12.75">
      <c r="A17" s="33"/>
      <c r="B17" s="29"/>
      <c r="C17" s="29"/>
      <c r="D17" s="29"/>
      <c r="E17" s="30"/>
      <c r="F17" s="30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3"/>
      <c r="T17" s="29"/>
      <c r="U17" s="30"/>
    </row>
    <row r="18" spans="1:21" ht="15">
      <c r="A18" s="117" t="s">
        <v>51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30"/>
    </row>
    <row r="19" spans="1:21" ht="12.75">
      <c r="A19" s="31" t="s">
        <v>3236</v>
      </c>
      <c r="B19" s="79" t="s">
        <v>3237</v>
      </c>
      <c r="C19" s="79" t="s">
        <v>1125</v>
      </c>
      <c r="D19" s="79" t="s">
        <v>3238</v>
      </c>
      <c r="E19" s="32" t="s">
        <v>16</v>
      </c>
      <c r="F19" s="32" t="s">
        <v>108</v>
      </c>
      <c r="G19" s="79" t="s">
        <v>411</v>
      </c>
      <c r="H19" s="79" t="s">
        <v>292</v>
      </c>
      <c r="I19" s="79" t="s">
        <v>313</v>
      </c>
      <c r="J19" s="80" t="s">
        <v>82</v>
      </c>
      <c r="K19" s="79" t="s">
        <v>268</v>
      </c>
      <c r="L19" s="79" t="s">
        <v>18</v>
      </c>
      <c r="M19" s="80"/>
      <c r="N19" s="80"/>
      <c r="O19" s="79" t="s">
        <v>411</v>
      </c>
      <c r="P19" s="79" t="s">
        <v>65</v>
      </c>
      <c r="Q19" s="79" t="s">
        <v>79</v>
      </c>
      <c r="R19" s="79" t="s">
        <v>67</v>
      </c>
      <c r="S19" s="41" t="s">
        <v>3239</v>
      </c>
      <c r="T19" s="79" t="s">
        <v>3240</v>
      </c>
      <c r="U19" s="32" t="s">
        <v>3241</v>
      </c>
    </row>
    <row r="20" spans="1:21" ht="12.75">
      <c r="A20" s="33"/>
      <c r="B20" s="29"/>
      <c r="C20" s="29"/>
      <c r="D20" s="29"/>
      <c r="E20" s="30"/>
      <c r="F20" s="30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3"/>
      <c r="T20" s="29"/>
      <c r="U20" s="30"/>
    </row>
    <row r="21" spans="1:21" ht="15">
      <c r="A21" s="117" t="s">
        <v>94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30"/>
    </row>
    <row r="22" spans="1:21" ht="12.75">
      <c r="A22" s="31" t="s">
        <v>3242</v>
      </c>
      <c r="B22" s="79" t="s">
        <v>1031</v>
      </c>
      <c r="C22" s="79" t="s">
        <v>107</v>
      </c>
      <c r="D22" s="79" t="s">
        <v>1851</v>
      </c>
      <c r="E22" s="32" t="s">
        <v>78</v>
      </c>
      <c r="F22" s="32" t="s">
        <v>3243</v>
      </c>
      <c r="G22" s="79" t="s">
        <v>1367</v>
      </c>
      <c r="H22" s="80" t="s">
        <v>2540</v>
      </c>
      <c r="I22" s="80" t="s">
        <v>2540</v>
      </c>
      <c r="J22" s="80" t="s">
        <v>2540</v>
      </c>
      <c r="K22" s="79" t="s">
        <v>43</v>
      </c>
      <c r="L22" s="79" t="s">
        <v>48</v>
      </c>
      <c r="M22" s="80" t="s">
        <v>283</v>
      </c>
      <c r="N22" s="79" t="s">
        <v>283</v>
      </c>
      <c r="O22" s="79" t="s">
        <v>115</v>
      </c>
      <c r="P22" s="79" t="s">
        <v>551</v>
      </c>
      <c r="Q22" s="80" t="s">
        <v>485</v>
      </c>
      <c r="R22" s="80"/>
      <c r="S22" s="41" t="s">
        <v>3088</v>
      </c>
      <c r="T22" s="79" t="s">
        <v>3244</v>
      </c>
      <c r="U22" s="32" t="s">
        <v>3209</v>
      </c>
    </row>
    <row r="23" spans="1:21" ht="12.75">
      <c r="A23" s="33"/>
      <c r="B23" s="29"/>
      <c r="C23" s="29"/>
      <c r="D23" s="29"/>
      <c r="E23" s="30"/>
      <c r="F23" s="30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3"/>
      <c r="T23" s="29"/>
      <c r="U23" s="30"/>
    </row>
    <row r="24" spans="1:21" ht="15">
      <c r="A24" s="117" t="s">
        <v>111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30"/>
    </row>
    <row r="25" spans="1:21" ht="12.75">
      <c r="A25" s="31" t="s">
        <v>3245</v>
      </c>
      <c r="B25" s="79" t="s">
        <v>3246</v>
      </c>
      <c r="C25" s="79" t="s">
        <v>2327</v>
      </c>
      <c r="D25" s="79" t="s">
        <v>2328</v>
      </c>
      <c r="E25" s="32" t="s">
        <v>78</v>
      </c>
      <c r="F25" s="32" t="s">
        <v>3247</v>
      </c>
      <c r="G25" s="79" t="s">
        <v>1367</v>
      </c>
      <c r="H25" s="79" t="s">
        <v>1804</v>
      </c>
      <c r="I25" s="80" t="s">
        <v>2622</v>
      </c>
      <c r="J25" s="80" t="s">
        <v>2622</v>
      </c>
      <c r="K25" s="79" t="s">
        <v>42</v>
      </c>
      <c r="L25" s="79" t="s">
        <v>43</v>
      </c>
      <c r="M25" s="80" t="s">
        <v>121</v>
      </c>
      <c r="N25" s="80"/>
      <c r="O25" s="79" t="s">
        <v>1367</v>
      </c>
      <c r="P25" s="79" t="s">
        <v>1804</v>
      </c>
      <c r="Q25" s="80" t="s">
        <v>2622</v>
      </c>
      <c r="R25" s="80" t="s">
        <v>2622</v>
      </c>
      <c r="S25" s="41" t="s">
        <v>3248</v>
      </c>
      <c r="T25" s="79" t="s">
        <v>3249</v>
      </c>
      <c r="U25" s="32" t="s">
        <v>3209</v>
      </c>
    </row>
    <row r="26" spans="1:21" ht="12.75">
      <c r="A26" s="33"/>
      <c r="B26" s="29"/>
      <c r="C26" s="29"/>
      <c r="D26" s="29"/>
      <c r="E26" s="30"/>
      <c r="F26" s="30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3"/>
      <c r="T26" s="29"/>
      <c r="U26" s="30"/>
    </row>
    <row r="27" spans="1:21" ht="15">
      <c r="A27" s="117" t="s">
        <v>136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30"/>
    </row>
    <row r="28" spans="1:21" ht="12.75">
      <c r="A28" s="42" t="s">
        <v>3250</v>
      </c>
      <c r="B28" s="73" t="s">
        <v>3251</v>
      </c>
      <c r="C28" s="73" t="s">
        <v>3252</v>
      </c>
      <c r="D28" s="73" t="s">
        <v>3253</v>
      </c>
      <c r="E28" s="43" t="s">
        <v>16</v>
      </c>
      <c r="F28" s="43" t="s">
        <v>108</v>
      </c>
      <c r="G28" s="74" t="s">
        <v>2540</v>
      </c>
      <c r="H28" s="74" t="s">
        <v>2540</v>
      </c>
      <c r="I28" s="74" t="s">
        <v>2540</v>
      </c>
      <c r="J28" s="73" t="s">
        <v>2540</v>
      </c>
      <c r="K28" s="73" t="s">
        <v>65</v>
      </c>
      <c r="L28" s="74" t="s">
        <v>63</v>
      </c>
      <c r="M28" s="74"/>
      <c r="N28" s="74"/>
      <c r="O28" s="73" t="s">
        <v>1804</v>
      </c>
      <c r="P28" s="74" t="s">
        <v>2540</v>
      </c>
      <c r="Q28" s="74" t="s">
        <v>2540</v>
      </c>
      <c r="R28" s="74"/>
      <c r="S28" s="44" t="s">
        <v>3254</v>
      </c>
      <c r="T28" s="73" t="s">
        <v>3255</v>
      </c>
      <c r="U28" s="43" t="s">
        <v>3209</v>
      </c>
    </row>
    <row r="29" spans="1:21" ht="12.75">
      <c r="A29" s="48" t="s">
        <v>3256</v>
      </c>
      <c r="B29" s="77" t="s">
        <v>3257</v>
      </c>
      <c r="C29" s="77" t="s">
        <v>3043</v>
      </c>
      <c r="D29" s="77" t="s">
        <v>3044</v>
      </c>
      <c r="E29" s="49" t="s">
        <v>1725</v>
      </c>
      <c r="F29" s="49" t="s">
        <v>3258</v>
      </c>
      <c r="G29" s="78" t="s">
        <v>2657</v>
      </c>
      <c r="H29" s="77" t="s">
        <v>2657</v>
      </c>
      <c r="I29" s="78" t="s">
        <v>610</v>
      </c>
      <c r="J29" s="78" t="s">
        <v>610</v>
      </c>
      <c r="K29" s="78" t="s">
        <v>82</v>
      </c>
      <c r="L29" s="78"/>
      <c r="M29" s="78"/>
      <c r="N29" s="78"/>
      <c r="O29" s="78" t="s">
        <v>550</v>
      </c>
      <c r="P29" s="78"/>
      <c r="Q29" s="78"/>
      <c r="R29" s="78"/>
      <c r="S29" s="50" t="s">
        <v>1635</v>
      </c>
      <c r="T29" s="77" t="s">
        <v>1636</v>
      </c>
      <c r="U29" s="49" t="s">
        <v>3209</v>
      </c>
    </row>
    <row r="30" spans="1:21" ht="12.75">
      <c r="A30" s="33"/>
      <c r="B30" s="29"/>
      <c r="C30" s="29"/>
      <c r="D30" s="29"/>
      <c r="E30" s="30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  <c r="T30" s="29"/>
      <c r="U30" s="30"/>
    </row>
    <row r="31" spans="1:21" ht="15">
      <c r="A31" s="117" t="s">
        <v>138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30"/>
    </row>
    <row r="32" spans="1:21" ht="12.75">
      <c r="A32" s="31" t="s">
        <v>1545</v>
      </c>
      <c r="B32" s="79" t="s">
        <v>3259</v>
      </c>
      <c r="C32" s="79" t="s">
        <v>3260</v>
      </c>
      <c r="D32" s="79" t="s">
        <v>3261</v>
      </c>
      <c r="E32" s="32" t="s">
        <v>16</v>
      </c>
      <c r="F32" s="32" t="s">
        <v>41</v>
      </c>
      <c r="G32" s="80" t="s">
        <v>652</v>
      </c>
      <c r="H32" s="80" t="s">
        <v>652</v>
      </c>
      <c r="I32" s="80" t="s">
        <v>652</v>
      </c>
      <c r="J32" s="79" t="s">
        <v>3188</v>
      </c>
      <c r="K32" s="79" t="s">
        <v>74</v>
      </c>
      <c r="L32" s="79" t="s">
        <v>65</v>
      </c>
      <c r="M32" s="80" t="s">
        <v>63</v>
      </c>
      <c r="N32" s="79" t="s">
        <v>63</v>
      </c>
      <c r="O32" s="79" t="s">
        <v>1367</v>
      </c>
      <c r="P32" s="79" t="s">
        <v>2622</v>
      </c>
      <c r="Q32" s="80" t="s">
        <v>2707</v>
      </c>
      <c r="R32" s="80" t="s">
        <v>2656</v>
      </c>
      <c r="S32" s="41" t="s">
        <v>3262</v>
      </c>
      <c r="T32" s="79" t="s">
        <v>3263</v>
      </c>
      <c r="U32" s="32" t="s">
        <v>3209</v>
      </c>
    </row>
    <row r="33" spans="1:21" ht="12.75">
      <c r="A33" s="33"/>
      <c r="B33" s="29"/>
      <c r="C33" s="29"/>
      <c r="D33" s="29"/>
      <c r="E33" s="30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3"/>
      <c r="T33" s="29"/>
      <c r="U33" s="30"/>
    </row>
    <row r="34" spans="1:21" ht="15">
      <c r="A34" s="117" t="s">
        <v>576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30"/>
    </row>
    <row r="35" spans="1:21" ht="12.75">
      <c r="A35" s="42" t="s">
        <v>3264</v>
      </c>
      <c r="B35" s="73" t="s">
        <v>3265</v>
      </c>
      <c r="C35" s="73" t="s">
        <v>3266</v>
      </c>
      <c r="D35" s="73" t="s">
        <v>3267</v>
      </c>
      <c r="E35" s="43" t="s">
        <v>16</v>
      </c>
      <c r="F35" s="43" t="s">
        <v>3268</v>
      </c>
      <c r="G35" s="73" t="s">
        <v>2586</v>
      </c>
      <c r="H35" s="73" t="s">
        <v>2542</v>
      </c>
      <c r="I35" s="74" t="s">
        <v>652</v>
      </c>
      <c r="J35" s="73" t="s">
        <v>3188</v>
      </c>
      <c r="K35" s="73" t="s">
        <v>56</v>
      </c>
      <c r="L35" s="73" t="s">
        <v>113</v>
      </c>
      <c r="M35" s="73" t="s">
        <v>65</v>
      </c>
      <c r="N35" s="74"/>
      <c r="O35" s="73" t="s">
        <v>1367</v>
      </c>
      <c r="P35" s="73" t="s">
        <v>2540</v>
      </c>
      <c r="Q35" s="73" t="s">
        <v>2541</v>
      </c>
      <c r="R35" s="73" t="s">
        <v>3138</v>
      </c>
      <c r="S35" s="44" t="s">
        <v>3269</v>
      </c>
      <c r="T35" s="73" t="s">
        <v>3270</v>
      </c>
      <c r="U35" s="43" t="s">
        <v>3209</v>
      </c>
    </row>
    <row r="36" spans="1:21" ht="12.75">
      <c r="A36" s="45" t="s">
        <v>3271</v>
      </c>
      <c r="B36" s="75" t="s">
        <v>3127</v>
      </c>
      <c r="C36" s="75" t="s">
        <v>3272</v>
      </c>
      <c r="D36" s="75" t="s">
        <v>3273</v>
      </c>
      <c r="E36" s="46" t="s">
        <v>2178</v>
      </c>
      <c r="F36" s="46"/>
      <c r="G36" s="75" t="s">
        <v>2540</v>
      </c>
      <c r="H36" s="76" t="s">
        <v>2657</v>
      </c>
      <c r="I36" s="76" t="s">
        <v>2657</v>
      </c>
      <c r="J36" s="76" t="s">
        <v>2657</v>
      </c>
      <c r="K36" s="75" t="s">
        <v>57</v>
      </c>
      <c r="L36" s="75" t="s">
        <v>68</v>
      </c>
      <c r="M36" s="76" t="s">
        <v>65</v>
      </c>
      <c r="N36" s="76"/>
      <c r="O36" s="75" t="s">
        <v>1367</v>
      </c>
      <c r="P36" s="75" t="s">
        <v>2540</v>
      </c>
      <c r="Q36" s="75" t="s">
        <v>2541</v>
      </c>
      <c r="R36" s="76"/>
      <c r="S36" s="45" t="s">
        <v>3274</v>
      </c>
      <c r="T36" s="75" t="s">
        <v>3275</v>
      </c>
      <c r="U36" s="46" t="s">
        <v>3209</v>
      </c>
    </row>
    <row r="37" spans="1:21" ht="12.75">
      <c r="A37" s="48" t="s">
        <v>3276</v>
      </c>
      <c r="B37" s="77" t="s">
        <v>3277</v>
      </c>
      <c r="C37" s="77" t="s">
        <v>3278</v>
      </c>
      <c r="D37" s="77" t="s">
        <v>3279</v>
      </c>
      <c r="E37" s="49" t="s">
        <v>3280</v>
      </c>
      <c r="F37" s="49" t="s">
        <v>3281</v>
      </c>
      <c r="G37" s="78" t="s">
        <v>2707</v>
      </c>
      <c r="H37" s="100" t="s">
        <v>2657</v>
      </c>
      <c r="I37" s="78" t="s">
        <v>3138</v>
      </c>
      <c r="J37" s="78"/>
      <c r="K37" s="77" t="s">
        <v>57</v>
      </c>
      <c r="L37" s="77" t="s">
        <v>113</v>
      </c>
      <c r="M37" s="77" t="s">
        <v>74</v>
      </c>
      <c r="N37" s="78"/>
      <c r="O37" s="77" t="s">
        <v>2540</v>
      </c>
      <c r="P37" s="77" t="s">
        <v>3282</v>
      </c>
      <c r="Q37" s="77" t="s">
        <v>2542</v>
      </c>
      <c r="R37" s="78"/>
      <c r="S37" s="48" t="s">
        <v>3303</v>
      </c>
      <c r="T37" s="77" t="s">
        <v>3572</v>
      </c>
      <c r="U37" s="49" t="s">
        <v>3209</v>
      </c>
    </row>
    <row r="38" spans="1:21" ht="15.75">
      <c r="A38" s="33"/>
      <c r="B38" s="29"/>
      <c r="C38" s="29"/>
      <c r="D38" s="29"/>
      <c r="E38" s="30"/>
      <c r="F38" s="30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3"/>
      <c r="T38" s="101"/>
      <c r="U38" s="30"/>
    </row>
    <row r="39" spans="1:21" ht="15">
      <c r="A39" s="117" t="s">
        <v>591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30"/>
    </row>
    <row r="40" spans="1:21" ht="12.75">
      <c r="A40" s="42" t="s">
        <v>3283</v>
      </c>
      <c r="B40" s="73" t="s">
        <v>3284</v>
      </c>
      <c r="C40" s="73" t="s">
        <v>3285</v>
      </c>
      <c r="D40" s="73" t="s">
        <v>3286</v>
      </c>
      <c r="E40" s="43" t="s">
        <v>16</v>
      </c>
      <c r="F40" s="43" t="s">
        <v>1526</v>
      </c>
      <c r="G40" s="73" t="s">
        <v>485</v>
      </c>
      <c r="H40" s="73" t="s">
        <v>1804</v>
      </c>
      <c r="I40" s="73" t="s">
        <v>2586</v>
      </c>
      <c r="J40" s="73" t="s">
        <v>2541</v>
      </c>
      <c r="K40" s="73" t="s">
        <v>106</v>
      </c>
      <c r="L40" s="73" t="s">
        <v>1367</v>
      </c>
      <c r="M40" s="74" t="s">
        <v>1804</v>
      </c>
      <c r="N40" s="74"/>
      <c r="O40" s="73" t="s">
        <v>2541</v>
      </c>
      <c r="P40" s="73" t="s">
        <v>3138</v>
      </c>
      <c r="Q40" s="73" t="s">
        <v>3287</v>
      </c>
      <c r="R40" s="74"/>
      <c r="S40" s="44" t="s">
        <v>3288</v>
      </c>
      <c r="T40" s="73" t="s">
        <v>3289</v>
      </c>
      <c r="U40" s="43" t="s">
        <v>3209</v>
      </c>
    </row>
    <row r="41" spans="1:21" ht="12.75">
      <c r="A41" s="45" t="s">
        <v>3290</v>
      </c>
      <c r="B41" s="75" t="s">
        <v>3291</v>
      </c>
      <c r="C41" s="75" t="s">
        <v>3292</v>
      </c>
      <c r="D41" s="75" t="s">
        <v>3293</v>
      </c>
      <c r="E41" s="46" t="s">
        <v>16</v>
      </c>
      <c r="F41" s="46" t="s">
        <v>3294</v>
      </c>
      <c r="G41" s="76" t="s">
        <v>2542</v>
      </c>
      <c r="H41" s="75" t="s">
        <v>3138</v>
      </c>
      <c r="I41" s="75" t="s">
        <v>3188</v>
      </c>
      <c r="J41" s="75" t="s">
        <v>3295</v>
      </c>
      <c r="K41" s="75" t="s">
        <v>57</v>
      </c>
      <c r="L41" s="75" t="s">
        <v>74</v>
      </c>
      <c r="M41" s="75" t="s">
        <v>65</v>
      </c>
      <c r="N41" s="76" t="s">
        <v>63</v>
      </c>
      <c r="O41" s="75" t="s">
        <v>1745</v>
      </c>
      <c r="P41" s="75" t="s">
        <v>620</v>
      </c>
      <c r="Q41" s="75" t="s">
        <v>624</v>
      </c>
      <c r="R41" s="75" t="s">
        <v>2540</v>
      </c>
      <c r="S41" s="47" t="s">
        <v>3296</v>
      </c>
      <c r="T41" s="75" t="s">
        <v>3297</v>
      </c>
      <c r="U41" s="46" t="s">
        <v>3209</v>
      </c>
    </row>
    <row r="42" spans="1:21" ht="12.75">
      <c r="A42" s="45" t="s">
        <v>3298</v>
      </c>
      <c r="B42" s="75" t="s">
        <v>3299</v>
      </c>
      <c r="C42" s="75" t="s">
        <v>3300</v>
      </c>
      <c r="D42" s="75" t="s">
        <v>3301</v>
      </c>
      <c r="E42" s="46" t="s">
        <v>16</v>
      </c>
      <c r="F42" s="46" t="s">
        <v>1532</v>
      </c>
      <c r="G42" s="75" t="s">
        <v>2540</v>
      </c>
      <c r="H42" s="76" t="s">
        <v>2541</v>
      </c>
      <c r="I42" s="76" t="s">
        <v>2542</v>
      </c>
      <c r="J42" s="75" t="s">
        <v>2719</v>
      </c>
      <c r="K42" s="75" t="s">
        <v>74</v>
      </c>
      <c r="L42" s="75" t="s">
        <v>65</v>
      </c>
      <c r="M42" s="76" t="s">
        <v>63</v>
      </c>
      <c r="N42" s="76"/>
      <c r="O42" s="75" t="s">
        <v>1367</v>
      </c>
      <c r="P42" s="75" t="s">
        <v>2737</v>
      </c>
      <c r="Q42" s="75" t="s">
        <v>2586</v>
      </c>
      <c r="R42" s="76" t="s">
        <v>3302</v>
      </c>
      <c r="S42" s="47" t="s">
        <v>3303</v>
      </c>
      <c r="T42" s="75" t="s">
        <v>3304</v>
      </c>
      <c r="U42" s="46" t="s">
        <v>3209</v>
      </c>
    </row>
    <row r="43" spans="1:21" ht="12.75">
      <c r="A43" s="45" t="s">
        <v>3305</v>
      </c>
      <c r="B43" s="75" t="s">
        <v>3306</v>
      </c>
      <c r="C43" s="75" t="s">
        <v>3307</v>
      </c>
      <c r="D43" s="75" t="s">
        <v>3308</v>
      </c>
      <c r="E43" s="46" t="s">
        <v>16</v>
      </c>
      <c r="F43" s="46" t="s">
        <v>1325</v>
      </c>
      <c r="G43" s="76" t="s">
        <v>2540</v>
      </c>
      <c r="H43" s="76" t="s">
        <v>2540</v>
      </c>
      <c r="I43" s="76" t="s">
        <v>2541</v>
      </c>
      <c r="J43" s="76" t="s">
        <v>2719</v>
      </c>
      <c r="K43" s="76" t="s">
        <v>57</v>
      </c>
      <c r="L43" s="76"/>
      <c r="M43" s="76"/>
      <c r="N43" s="76"/>
      <c r="O43" s="76" t="s">
        <v>1804</v>
      </c>
      <c r="P43" s="76"/>
      <c r="Q43" s="76"/>
      <c r="R43" s="76"/>
      <c r="S43" s="47" t="s">
        <v>1635</v>
      </c>
      <c r="T43" s="75" t="s">
        <v>1636</v>
      </c>
      <c r="U43" s="46" t="s">
        <v>3209</v>
      </c>
    </row>
    <row r="44" spans="1:21" ht="12.75">
      <c r="A44" s="48" t="s">
        <v>3309</v>
      </c>
      <c r="B44" s="77" t="s">
        <v>1969</v>
      </c>
      <c r="C44" s="77" t="s">
        <v>3310</v>
      </c>
      <c r="D44" s="77" t="s">
        <v>3311</v>
      </c>
      <c r="E44" s="49" t="s">
        <v>16</v>
      </c>
      <c r="F44" s="49" t="s">
        <v>2227</v>
      </c>
      <c r="G44" s="77" t="s">
        <v>3138</v>
      </c>
      <c r="H44" s="77" t="s">
        <v>3188</v>
      </c>
      <c r="I44" s="78" t="s">
        <v>3312</v>
      </c>
      <c r="J44" s="78" t="s">
        <v>3312</v>
      </c>
      <c r="K44" s="78" t="s">
        <v>82</v>
      </c>
      <c r="L44" s="78"/>
      <c r="M44" s="78"/>
      <c r="N44" s="78"/>
      <c r="O44" s="78" t="s">
        <v>1367</v>
      </c>
      <c r="P44" s="78"/>
      <c r="Q44" s="78"/>
      <c r="R44" s="78"/>
      <c r="S44" s="50" t="s">
        <v>1635</v>
      </c>
      <c r="T44" s="77" t="s">
        <v>1636</v>
      </c>
      <c r="U44" s="49" t="s">
        <v>3209</v>
      </c>
    </row>
    <row r="45" spans="1:21" ht="12.75">
      <c r="A45" s="33"/>
      <c r="B45" s="29"/>
      <c r="C45" s="29"/>
      <c r="D45" s="29"/>
      <c r="E45" s="30"/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3"/>
      <c r="T45" s="29"/>
      <c r="U45" s="30"/>
    </row>
    <row r="46" spans="1:21" ht="18">
      <c r="A46" s="34" t="s">
        <v>140</v>
      </c>
      <c r="B46" s="35"/>
      <c r="C46" s="29"/>
      <c r="D46" s="29"/>
      <c r="E46" s="30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3"/>
      <c r="T46" s="29"/>
      <c r="U46" s="30"/>
    </row>
    <row r="47" spans="1:21" ht="15">
      <c r="A47" s="36" t="s">
        <v>595</v>
      </c>
      <c r="B47" s="27"/>
      <c r="C47" s="29"/>
      <c r="D47" s="29"/>
      <c r="E47" s="30"/>
      <c r="F47" s="30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3"/>
      <c r="T47" s="29"/>
      <c r="U47" s="30"/>
    </row>
    <row r="48" spans="1:21" ht="14.25">
      <c r="A48" s="37"/>
      <c r="B48" s="38" t="s">
        <v>3313</v>
      </c>
      <c r="C48" s="29"/>
      <c r="D48" s="29"/>
      <c r="E48" s="30"/>
      <c r="F48" s="30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3"/>
      <c r="T48" s="29"/>
      <c r="U48" s="30"/>
    </row>
    <row r="49" spans="1:21" ht="15">
      <c r="A49" s="19" t="s">
        <v>597</v>
      </c>
      <c r="B49" s="39" t="s">
        <v>598</v>
      </c>
      <c r="C49" s="39" t="s">
        <v>599</v>
      </c>
      <c r="D49" s="39" t="s">
        <v>600</v>
      </c>
      <c r="E49" s="39" t="s">
        <v>601</v>
      </c>
      <c r="F49" s="30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3"/>
      <c r="T49" s="29"/>
      <c r="U49" s="30"/>
    </row>
    <row r="50" spans="1:21" ht="12.75">
      <c r="A50" s="40" t="s">
        <v>3205</v>
      </c>
      <c r="B50" s="29" t="s">
        <v>3314</v>
      </c>
      <c r="C50" s="29" t="s">
        <v>618</v>
      </c>
      <c r="D50" s="29" t="s">
        <v>3573</v>
      </c>
      <c r="E50" s="33" t="s">
        <v>3574</v>
      </c>
      <c r="F50" s="30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3"/>
      <c r="T50" s="29"/>
      <c r="U50" s="30"/>
    </row>
    <row r="51" spans="1:21" ht="12.75">
      <c r="A51" s="40" t="s">
        <v>3210</v>
      </c>
      <c r="B51" s="29" t="s">
        <v>3314</v>
      </c>
      <c r="C51" s="29" t="s">
        <v>2773</v>
      </c>
      <c r="D51" s="29" t="s">
        <v>645</v>
      </c>
      <c r="E51" s="33" t="s">
        <v>3216</v>
      </c>
      <c r="F51" s="30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3"/>
      <c r="T51" s="29"/>
      <c r="U51" s="30"/>
    </row>
    <row r="52" spans="1:21" ht="12.75">
      <c r="A52" s="40" t="s">
        <v>3218</v>
      </c>
      <c r="B52" s="29" t="s">
        <v>3314</v>
      </c>
      <c r="C52" s="29" t="s">
        <v>2773</v>
      </c>
      <c r="D52" s="29" t="s">
        <v>748</v>
      </c>
      <c r="E52" s="33" t="s">
        <v>3221</v>
      </c>
      <c r="F52" s="30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3"/>
      <c r="T52" s="29"/>
      <c r="U52" s="30"/>
    </row>
    <row r="53" spans="1:21" ht="12.75">
      <c r="A53" s="40" t="s">
        <v>3222</v>
      </c>
      <c r="B53" s="29" t="s">
        <v>3314</v>
      </c>
      <c r="C53" s="29" t="s">
        <v>606</v>
      </c>
      <c r="D53" s="29" t="s">
        <v>3315</v>
      </c>
      <c r="E53" s="33" t="s">
        <v>3227</v>
      </c>
      <c r="F53" s="30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3"/>
      <c r="T53" s="29"/>
      <c r="U53" s="30"/>
    </row>
    <row r="54" spans="1:21" ht="12.75">
      <c r="A54" s="40" t="s">
        <v>3236</v>
      </c>
      <c r="B54" s="29" t="s">
        <v>3314</v>
      </c>
      <c r="C54" s="29" t="s">
        <v>1211</v>
      </c>
      <c r="D54" s="29" t="s">
        <v>3316</v>
      </c>
      <c r="E54" s="33" t="s">
        <v>3240</v>
      </c>
      <c r="F54" s="30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3"/>
      <c r="T54" s="29"/>
      <c r="U54" s="30"/>
    </row>
    <row r="55" spans="1:21" ht="12.75">
      <c r="A55" s="40" t="s">
        <v>3228</v>
      </c>
      <c r="B55" s="29" t="s">
        <v>3314</v>
      </c>
      <c r="C55" s="29" t="s">
        <v>1608</v>
      </c>
      <c r="D55" s="29" t="s">
        <v>675</v>
      </c>
      <c r="E55" s="33" t="s">
        <v>3234</v>
      </c>
      <c r="F55" s="30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3"/>
      <c r="T55" s="29"/>
      <c r="U55" s="30"/>
    </row>
    <row r="56" spans="1:21" ht="12.75">
      <c r="A56" s="33"/>
      <c r="B56" s="29"/>
      <c r="C56" s="29"/>
      <c r="D56" s="29"/>
      <c r="E56" s="30"/>
      <c r="F56" s="30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3"/>
      <c r="T56" s="29"/>
      <c r="U56" s="30"/>
    </row>
    <row r="57" spans="1:21" ht="15">
      <c r="A57" s="36" t="s">
        <v>637</v>
      </c>
      <c r="B57" s="27"/>
      <c r="C57" s="29"/>
      <c r="D57" s="29"/>
      <c r="E57" s="30"/>
      <c r="F57" s="30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3"/>
      <c r="T57" s="29"/>
      <c r="U57" s="30"/>
    </row>
    <row r="58" spans="1:21" ht="14.25">
      <c r="A58" s="37"/>
      <c r="B58" s="38" t="s">
        <v>3314</v>
      </c>
      <c r="C58" s="29"/>
      <c r="D58" s="29"/>
      <c r="E58" s="30"/>
      <c r="F58" s="30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3"/>
      <c r="T58" s="29"/>
      <c r="U58" s="30"/>
    </row>
    <row r="59" spans="1:21" ht="15">
      <c r="A59" s="19" t="s">
        <v>597</v>
      </c>
      <c r="B59" s="39" t="s">
        <v>598</v>
      </c>
      <c r="C59" s="39" t="s">
        <v>599</v>
      </c>
      <c r="D59" s="39" t="s">
        <v>600</v>
      </c>
      <c r="E59" s="39" t="s">
        <v>601</v>
      </c>
      <c r="F59" s="30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3"/>
      <c r="T59" s="29"/>
      <c r="U59" s="30"/>
    </row>
    <row r="60" spans="1:21" ht="12.75">
      <c r="A60" s="40" t="s">
        <v>3283</v>
      </c>
      <c r="B60" s="29" t="s">
        <v>3314</v>
      </c>
      <c r="C60" s="29" t="s">
        <v>704</v>
      </c>
      <c r="D60" s="29" t="s">
        <v>3317</v>
      </c>
      <c r="E60" s="33" t="s">
        <v>3289</v>
      </c>
      <c r="F60" s="30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3"/>
      <c r="T60" s="29"/>
      <c r="U60" s="30"/>
    </row>
    <row r="61" spans="1:21" ht="12.75">
      <c r="A61" s="40" t="s">
        <v>3264</v>
      </c>
      <c r="B61" s="29" t="s">
        <v>3314</v>
      </c>
      <c r="C61" s="29" t="s">
        <v>665</v>
      </c>
      <c r="D61" s="29" t="s">
        <v>3318</v>
      </c>
      <c r="E61" s="33" t="s">
        <v>3270</v>
      </c>
      <c r="F61" s="30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3"/>
      <c r="T61" s="29"/>
      <c r="U61" s="30"/>
    </row>
    <row r="62" spans="1:21" ht="12.75">
      <c r="A62" s="40" t="s">
        <v>1545</v>
      </c>
      <c r="B62" s="29" t="s">
        <v>3314</v>
      </c>
      <c r="C62" s="29" t="s">
        <v>657</v>
      </c>
      <c r="D62" s="29" t="s">
        <v>3319</v>
      </c>
      <c r="E62" s="33" t="s">
        <v>3263</v>
      </c>
      <c r="F62" s="30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3"/>
      <c r="T62" s="29"/>
      <c r="U62" s="30"/>
    </row>
    <row r="63" spans="1:21" ht="12.75">
      <c r="A63" s="40" t="s">
        <v>3250</v>
      </c>
      <c r="B63" s="29" t="s">
        <v>3314</v>
      </c>
      <c r="C63" s="29" t="s">
        <v>649</v>
      </c>
      <c r="D63" s="29" t="s">
        <v>3320</v>
      </c>
      <c r="E63" s="33" t="s">
        <v>3255</v>
      </c>
      <c r="F63" s="30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3"/>
      <c r="T63" s="29"/>
      <c r="U63" s="30"/>
    </row>
    <row r="64" spans="1:21" ht="12.75">
      <c r="A64" s="40" t="s">
        <v>3290</v>
      </c>
      <c r="B64" s="29" t="s">
        <v>3314</v>
      </c>
      <c r="C64" s="29" t="s">
        <v>704</v>
      </c>
      <c r="D64" s="29" t="s">
        <v>3321</v>
      </c>
      <c r="E64" s="33" t="s">
        <v>3297</v>
      </c>
      <c r="F64" s="30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3"/>
      <c r="T64" s="29"/>
      <c r="U64" s="30"/>
    </row>
    <row r="65" spans="1:21" ht="12.75">
      <c r="A65" s="40" t="s">
        <v>3276</v>
      </c>
      <c r="B65" s="29" t="s">
        <v>3314</v>
      </c>
      <c r="C65" s="29" t="s">
        <v>665</v>
      </c>
      <c r="D65" s="29" t="s">
        <v>3322</v>
      </c>
      <c r="E65" s="33" t="s">
        <v>3572</v>
      </c>
      <c r="F65" s="30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3"/>
      <c r="T65" s="29"/>
      <c r="U65" s="30"/>
    </row>
    <row r="66" spans="1:21" ht="12.75">
      <c r="A66" s="40" t="s">
        <v>3298</v>
      </c>
      <c r="B66" s="29" t="s">
        <v>3314</v>
      </c>
      <c r="C66" s="29" t="s">
        <v>704</v>
      </c>
      <c r="D66" s="29" t="s">
        <v>3322</v>
      </c>
      <c r="E66" s="33" t="s">
        <v>3304</v>
      </c>
      <c r="F66" s="30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3"/>
      <c r="T66" s="29"/>
      <c r="U66" s="30"/>
    </row>
    <row r="67" spans="1:21" ht="12.75">
      <c r="A67" s="40" t="s">
        <v>3242</v>
      </c>
      <c r="B67" s="29" t="s">
        <v>3314</v>
      </c>
      <c r="C67" s="29" t="s">
        <v>638</v>
      </c>
      <c r="D67" s="29" t="s">
        <v>3163</v>
      </c>
      <c r="E67" s="33" t="s">
        <v>3244</v>
      </c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3"/>
      <c r="T67" s="29"/>
      <c r="U67" s="30"/>
    </row>
    <row r="68" spans="1:21" ht="12.75">
      <c r="A68" s="40" t="s">
        <v>3271</v>
      </c>
      <c r="B68" s="29" t="s">
        <v>3314</v>
      </c>
      <c r="C68" s="29" t="s">
        <v>665</v>
      </c>
      <c r="D68" s="29" t="s">
        <v>3323</v>
      </c>
      <c r="E68" s="33" t="s">
        <v>3275</v>
      </c>
      <c r="F68" s="30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3"/>
      <c r="T68" s="29"/>
      <c r="U68" s="30"/>
    </row>
    <row r="69" spans="1:21" ht="12.75">
      <c r="A69" s="40" t="s">
        <v>3245</v>
      </c>
      <c r="B69" s="29" t="s">
        <v>3314</v>
      </c>
      <c r="C69" s="29" t="s">
        <v>662</v>
      </c>
      <c r="D69" s="29" t="s">
        <v>3324</v>
      </c>
      <c r="E69" s="33" t="s">
        <v>3249</v>
      </c>
      <c r="F69" s="30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3"/>
      <c r="T69" s="29"/>
      <c r="U69" s="30"/>
    </row>
    <row r="70" spans="1:21" ht="12.75">
      <c r="A70" s="33"/>
      <c r="B70" s="29"/>
      <c r="C70" s="29"/>
      <c r="D70" s="29"/>
      <c r="E70" s="30"/>
      <c r="F70" s="30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3"/>
      <c r="T70" s="29"/>
      <c r="U70" s="30"/>
    </row>
    <row r="71" spans="1:21" ht="12.75">
      <c r="A71" s="33"/>
      <c r="B71" s="29"/>
      <c r="C71" s="29"/>
      <c r="D71" s="29"/>
      <c r="E71" s="30"/>
      <c r="F71" s="30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3"/>
      <c r="T71" s="29"/>
      <c r="U71" s="30"/>
    </row>
    <row r="72" spans="1:21" ht="12.75">
      <c r="A72" s="33"/>
      <c r="B72" s="29"/>
      <c r="C72" s="29"/>
      <c r="D72" s="29"/>
      <c r="E72" s="30"/>
      <c r="F72" s="30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3"/>
      <c r="T72" s="29"/>
      <c r="U72" s="30"/>
    </row>
    <row r="73" spans="1:21" ht="12.75">
      <c r="A73" s="33"/>
      <c r="B73" s="29"/>
      <c r="C73" s="29"/>
      <c r="D73" s="29"/>
      <c r="E73" s="30"/>
      <c r="F73" s="30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3"/>
      <c r="T73" s="29"/>
      <c r="U73" s="30"/>
    </row>
    <row r="74" spans="1:21" ht="12.75">
      <c r="A74" s="33"/>
      <c r="B74" s="29"/>
      <c r="C74" s="29"/>
      <c r="D74" s="29"/>
      <c r="E74" s="30"/>
      <c r="F74" s="30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3"/>
      <c r="T74" s="29"/>
      <c r="U74" s="30"/>
    </row>
    <row r="75" spans="1:21" ht="12.75">
      <c r="A75" s="33"/>
      <c r="B75" s="29"/>
      <c r="C75" s="29"/>
      <c r="D75" s="29"/>
      <c r="E75" s="30"/>
      <c r="F75" s="30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3"/>
      <c r="T75" s="29"/>
      <c r="U75" s="30"/>
    </row>
    <row r="76" spans="1:21" ht="12.75">
      <c r="A76" s="33"/>
      <c r="B76" s="29"/>
      <c r="C76" s="29"/>
      <c r="D76" s="29"/>
      <c r="E76" s="30"/>
      <c r="F76" s="30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3"/>
      <c r="T76" s="29"/>
      <c r="U76" s="30"/>
    </row>
    <row r="77" spans="1:21" ht="12.75">
      <c r="A77" s="33"/>
      <c r="B77" s="29"/>
      <c r="C77" s="29"/>
      <c r="D77" s="29"/>
      <c r="E77" s="30"/>
      <c r="F77" s="30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3"/>
      <c r="T77" s="29"/>
      <c r="U77" s="30"/>
    </row>
    <row r="78" spans="1:21" ht="12.75">
      <c r="A78" s="33"/>
      <c r="B78" s="29"/>
      <c r="C78" s="29"/>
      <c r="D78" s="29"/>
      <c r="E78" s="30"/>
      <c r="F78" s="30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3"/>
      <c r="T78" s="29"/>
      <c r="U78" s="30"/>
    </row>
    <row r="79" spans="1:21" ht="12.75">
      <c r="A79" s="33"/>
      <c r="B79" s="29"/>
      <c r="C79" s="29"/>
      <c r="D79" s="29"/>
      <c r="E79" s="30"/>
      <c r="F79" s="30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3"/>
      <c r="T79" s="29"/>
      <c r="U79" s="30"/>
    </row>
    <row r="80" spans="1:21" ht="12.75">
      <c r="A80" s="33"/>
      <c r="B80" s="29"/>
      <c r="C80" s="29"/>
      <c r="D80" s="29"/>
      <c r="E80" s="30"/>
      <c r="F80" s="30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3"/>
      <c r="T80" s="29"/>
      <c r="U80" s="30"/>
    </row>
    <row r="81" spans="1:21" ht="12.75">
      <c r="A81" s="33"/>
      <c r="B81" s="29"/>
      <c r="C81" s="29"/>
      <c r="D81" s="29"/>
      <c r="E81" s="30"/>
      <c r="F81" s="30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3"/>
      <c r="T81" s="29"/>
      <c r="U81" s="30"/>
    </row>
    <row r="82" spans="1:21" ht="12.75">
      <c r="A82" s="33"/>
      <c r="B82" s="29"/>
      <c r="C82" s="29"/>
      <c r="D82" s="29"/>
      <c r="E82" s="30"/>
      <c r="F82" s="30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3"/>
      <c r="T82" s="29"/>
      <c r="U82" s="30"/>
    </row>
    <row r="83" spans="1:21" ht="12.75">
      <c r="A83" s="33"/>
      <c r="B83" s="29"/>
      <c r="C83" s="29"/>
      <c r="D83" s="29"/>
      <c r="E83" s="30"/>
      <c r="F83" s="30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3"/>
      <c r="T83" s="29"/>
      <c r="U83" s="30"/>
    </row>
    <row r="84" spans="1:21" ht="12.75">
      <c r="A84" s="33"/>
      <c r="B84" s="29"/>
      <c r="C84" s="29"/>
      <c r="D84" s="29"/>
      <c r="E84" s="30"/>
      <c r="F84" s="30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3"/>
      <c r="T84" s="29"/>
      <c r="U84" s="30"/>
    </row>
    <row r="85" spans="1:21" ht="12.75">
      <c r="A85" s="33"/>
      <c r="B85" s="29"/>
      <c r="C85" s="29"/>
      <c r="D85" s="29"/>
      <c r="E85" s="30"/>
      <c r="F85" s="30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3"/>
      <c r="T85" s="29"/>
      <c r="U85" s="30"/>
    </row>
    <row r="86" spans="1:21" ht="12.75">
      <c r="A86" s="33"/>
      <c r="B86" s="29"/>
      <c r="C86" s="29"/>
      <c r="D86" s="29"/>
      <c r="E86" s="30"/>
      <c r="F86" s="30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3"/>
      <c r="T86" s="29"/>
      <c r="U86" s="30"/>
    </row>
    <row r="87" spans="1:21" ht="12.75">
      <c r="A87" s="33"/>
      <c r="B87" s="29"/>
      <c r="C87" s="29"/>
      <c r="D87" s="29"/>
      <c r="E87" s="30"/>
      <c r="F87" s="30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3"/>
      <c r="T87" s="29"/>
      <c r="U87" s="30"/>
    </row>
    <row r="88" spans="1:21" ht="12.75">
      <c r="A88" s="33"/>
      <c r="B88" s="29"/>
      <c r="C88" s="29"/>
      <c r="D88" s="29"/>
      <c r="E88" s="30"/>
      <c r="F88" s="30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3"/>
      <c r="T88" s="29"/>
      <c r="U88" s="30"/>
    </row>
  </sheetData>
  <sheetProtection/>
  <mergeCells count="25">
    <mergeCell ref="A1:U1"/>
    <mergeCell ref="A2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27:T27"/>
    <mergeCell ref="A31:T31"/>
    <mergeCell ref="A34:T34"/>
    <mergeCell ref="A39:T39"/>
    <mergeCell ref="A8:T8"/>
    <mergeCell ref="A12:T12"/>
    <mergeCell ref="A15:T15"/>
    <mergeCell ref="A18:T18"/>
    <mergeCell ref="A21:T21"/>
    <mergeCell ref="A24:T2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6"/>
  <sheetViews>
    <sheetView zoomScale="104" zoomScaleNormal="104" zoomScalePageLayoutView="0" workbookViewId="0" topLeftCell="A13">
      <selection activeCell="H21" sqref="H21"/>
    </sheetView>
  </sheetViews>
  <sheetFormatPr defaultColWidth="11.375" defaultRowHeight="12.75"/>
  <cols>
    <col min="1" max="1" width="20.125" style="0" customWidth="1"/>
    <col min="2" max="2" width="22.625" style="0" customWidth="1"/>
    <col min="3" max="5" width="11.375" style="0" customWidth="1"/>
    <col min="6" max="6" width="32.125" style="0" customWidth="1"/>
    <col min="7" max="7" width="7.25390625" style="0" customWidth="1"/>
    <col min="8" max="8" width="7.00390625" style="0" customWidth="1"/>
    <col min="9" max="9" width="6.75390625" style="0" customWidth="1"/>
    <col min="10" max="10" width="7.625" style="0" customWidth="1"/>
    <col min="11" max="12" width="11.375" style="0" customWidth="1"/>
    <col min="13" max="13" width="19.00390625" style="0" customWidth="1"/>
  </cols>
  <sheetData>
    <row r="1" spans="1:13" ht="57.75" customHeight="1">
      <c r="A1" s="125" t="s">
        <v>3325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30.75" thickBot="1">
      <c r="A2" s="128" t="s">
        <v>3200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30" customHeight="1">
      <c r="A3" s="135" t="s">
        <v>0</v>
      </c>
      <c r="B3" s="137" t="s">
        <v>3201</v>
      </c>
      <c r="C3" s="137" t="s">
        <v>3202</v>
      </c>
      <c r="D3" s="123" t="s">
        <v>8</v>
      </c>
      <c r="E3" s="123" t="s">
        <v>3203</v>
      </c>
      <c r="F3" s="123" t="s">
        <v>1491</v>
      </c>
      <c r="G3" s="120" t="s">
        <v>2</v>
      </c>
      <c r="H3" s="121"/>
      <c r="I3" s="121"/>
      <c r="J3" s="122"/>
      <c r="K3" s="123" t="s">
        <v>3204</v>
      </c>
      <c r="L3" s="123" t="s">
        <v>6</v>
      </c>
      <c r="M3" s="118" t="s">
        <v>5</v>
      </c>
    </row>
    <row r="4" spans="1:13" ht="15" thickBot="1">
      <c r="A4" s="136"/>
      <c r="B4" s="138"/>
      <c r="C4" s="138"/>
      <c r="D4" s="124"/>
      <c r="E4" s="124"/>
      <c r="F4" s="124"/>
      <c r="G4" s="28" t="s">
        <v>1585</v>
      </c>
      <c r="H4" s="28" t="s">
        <v>1586</v>
      </c>
      <c r="I4" s="28" t="s">
        <v>1587</v>
      </c>
      <c r="J4" s="28" t="s">
        <v>7</v>
      </c>
      <c r="K4" s="124"/>
      <c r="L4" s="124"/>
      <c r="M4" s="119"/>
    </row>
    <row r="5" spans="1:13" ht="15">
      <c r="A5" s="134" t="s">
        <v>21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4"/>
    </row>
    <row r="6" spans="1:13" ht="12.75">
      <c r="A6" s="5" t="s">
        <v>3205</v>
      </c>
      <c r="B6" s="54" t="s">
        <v>3206</v>
      </c>
      <c r="C6" s="54" t="s">
        <v>3207</v>
      </c>
      <c r="D6" s="54" t="s">
        <v>3208</v>
      </c>
      <c r="E6" s="54" t="s">
        <v>23</v>
      </c>
      <c r="F6" s="54" t="s">
        <v>1715</v>
      </c>
      <c r="G6" s="54" t="s">
        <v>18</v>
      </c>
      <c r="H6" s="55"/>
      <c r="I6" s="55"/>
      <c r="J6" s="55"/>
      <c r="K6" s="54" t="s">
        <v>2076</v>
      </c>
      <c r="L6" s="54" t="s">
        <v>3326</v>
      </c>
      <c r="M6" s="54" t="s">
        <v>2594</v>
      </c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134" t="s">
        <v>28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4"/>
    </row>
    <row r="9" spans="1:13" ht="12.75">
      <c r="A9" s="7" t="s">
        <v>3327</v>
      </c>
      <c r="B9" s="25" t="s">
        <v>3328</v>
      </c>
      <c r="C9" s="25" t="s">
        <v>2040</v>
      </c>
      <c r="D9" s="25" t="s">
        <v>2041</v>
      </c>
      <c r="E9" s="25" t="s">
        <v>16</v>
      </c>
      <c r="F9" s="25" t="s">
        <v>3329</v>
      </c>
      <c r="G9" s="25" t="s">
        <v>110</v>
      </c>
      <c r="H9" s="51" t="s">
        <v>963</v>
      </c>
      <c r="I9" s="25" t="s">
        <v>963</v>
      </c>
      <c r="J9" s="25" t="s">
        <v>169</v>
      </c>
      <c r="K9" s="25" t="s">
        <v>169</v>
      </c>
      <c r="L9" s="25" t="s">
        <v>3330</v>
      </c>
      <c r="M9" s="25" t="s">
        <v>2594</v>
      </c>
    </row>
    <row r="10" spans="1:13" ht="12.75">
      <c r="A10" s="9" t="s">
        <v>3331</v>
      </c>
      <c r="B10" s="22" t="s">
        <v>3332</v>
      </c>
      <c r="C10" s="22" t="s">
        <v>219</v>
      </c>
      <c r="D10" s="22" t="s">
        <v>3333</v>
      </c>
      <c r="E10" s="22" t="s">
        <v>16</v>
      </c>
      <c r="F10" s="22" t="s">
        <v>101</v>
      </c>
      <c r="G10" s="22" t="s">
        <v>268</v>
      </c>
      <c r="H10" s="22" t="s">
        <v>20</v>
      </c>
      <c r="I10" s="52" t="s">
        <v>963</v>
      </c>
      <c r="J10" s="52"/>
      <c r="K10" s="22" t="s">
        <v>2403</v>
      </c>
      <c r="L10" s="22" t="s">
        <v>3334</v>
      </c>
      <c r="M10" s="22" t="s">
        <v>2594</v>
      </c>
    </row>
    <row r="11" spans="1:13" ht="12.75">
      <c r="A11" s="11" t="s">
        <v>3335</v>
      </c>
      <c r="B11" s="26" t="s">
        <v>3336</v>
      </c>
      <c r="C11" s="26" t="s">
        <v>207</v>
      </c>
      <c r="D11" s="26" t="s">
        <v>3337</v>
      </c>
      <c r="E11" s="26" t="s">
        <v>16</v>
      </c>
      <c r="F11" s="26" t="s">
        <v>1602</v>
      </c>
      <c r="G11" s="26" t="s">
        <v>17</v>
      </c>
      <c r="H11" s="26" t="s">
        <v>208</v>
      </c>
      <c r="I11" s="26" t="s">
        <v>110</v>
      </c>
      <c r="J11" s="26" t="s">
        <v>268</v>
      </c>
      <c r="K11" s="26" t="s">
        <v>268</v>
      </c>
      <c r="L11" s="26" t="s">
        <v>3338</v>
      </c>
      <c r="M11" s="26" t="s">
        <v>3339</v>
      </c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134" t="s">
        <v>32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4"/>
    </row>
    <row r="14" spans="1:13" ht="12.75">
      <c r="A14" s="7" t="s">
        <v>3340</v>
      </c>
      <c r="B14" s="25" t="s">
        <v>3341</v>
      </c>
      <c r="C14" s="25" t="s">
        <v>1314</v>
      </c>
      <c r="D14" s="25" t="s">
        <v>3342</v>
      </c>
      <c r="E14" s="25" t="s">
        <v>2957</v>
      </c>
      <c r="F14" s="25" t="s">
        <v>1811</v>
      </c>
      <c r="G14" s="25" t="s">
        <v>24</v>
      </c>
      <c r="H14" s="51" t="s">
        <v>25</v>
      </c>
      <c r="I14" s="25" t="s">
        <v>25</v>
      </c>
      <c r="J14" s="51" t="s">
        <v>254</v>
      </c>
      <c r="K14" s="25" t="s">
        <v>2147</v>
      </c>
      <c r="L14" s="25" t="s">
        <v>3343</v>
      </c>
      <c r="M14" s="25" t="s">
        <v>2594</v>
      </c>
    </row>
    <row r="15" spans="1:13" ht="12.75">
      <c r="A15" s="9" t="s">
        <v>3210</v>
      </c>
      <c r="B15" s="22" t="s">
        <v>3211</v>
      </c>
      <c r="C15" s="22" t="s">
        <v>1311</v>
      </c>
      <c r="D15" s="22" t="s">
        <v>3212</v>
      </c>
      <c r="E15" s="22" t="s">
        <v>78</v>
      </c>
      <c r="F15" s="22" t="s">
        <v>3213</v>
      </c>
      <c r="G15" s="22" t="s">
        <v>25</v>
      </c>
      <c r="H15" s="52"/>
      <c r="I15" s="52"/>
      <c r="J15" s="52"/>
      <c r="K15" s="22" t="s">
        <v>2147</v>
      </c>
      <c r="L15" s="22" t="s">
        <v>3344</v>
      </c>
      <c r="M15" s="22" t="s">
        <v>3217</v>
      </c>
    </row>
    <row r="16" spans="1:13" ht="12.75">
      <c r="A16" s="11" t="s">
        <v>3345</v>
      </c>
      <c r="B16" s="26" t="s">
        <v>3346</v>
      </c>
      <c r="C16" s="26" t="s">
        <v>3347</v>
      </c>
      <c r="D16" s="26" t="s">
        <v>3348</v>
      </c>
      <c r="E16" s="26" t="s">
        <v>2005</v>
      </c>
      <c r="F16" s="26" t="s">
        <v>2006</v>
      </c>
      <c r="G16" s="26" t="s">
        <v>24</v>
      </c>
      <c r="H16" s="53" t="s">
        <v>30</v>
      </c>
      <c r="I16" s="53"/>
      <c r="J16" s="53"/>
      <c r="K16" s="26" t="s">
        <v>2085</v>
      </c>
      <c r="L16" s="26" t="s">
        <v>3349</v>
      </c>
      <c r="M16" s="26" t="s">
        <v>2594</v>
      </c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134" t="s">
        <v>40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4"/>
    </row>
    <row r="19" spans="1:13" ht="12.75">
      <c r="A19" s="7" t="s">
        <v>3350</v>
      </c>
      <c r="B19" s="25" t="s">
        <v>3351</v>
      </c>
      <c r="C19" s="25" t="s">
        <v>3352</v>
      </c>
      <c r="D19" s="25" t="s">
        <v>3353</v>
      </c>
      <c r="E19" s="25" t="s">
        <v>16</v>
      </c>
      <c r="F19" s="25" t="s">
        <v>521</v>
      </c>
      <c r="G19" s="25" t="s">
        <v>35</v>
      </c>
      <c r="H19" s="51" t="s">
        <v>410</v>
      </c>
      <c r="I19" s="25" t="s">
        <v>410</v>
      </c>
      <c r="J19" s="51" t="s">
        <v>36</v>
      </c>
      <c r="K19" s="25" t="s">
        <v>410</v>
      </c>
      <c r="L19" s="25" t="s">
        <v>3354</v>
      </c>
      <c r="M19" s="25" t="s">
        <v>2594</v>
      </c>
    </row>
    <row r="20" spans="1:13" ht="12.75">
      <c r="A20" s="9" t="s">
        <v>3355</v>
      </c>
      <c r="B20" s="22" t="s">
        <v>3356</v>
      </c>
      <c r="C20" s="22" t="s">
        <v>3357</v>
      </c>
      <c r="D20" s="22" t="s">
        <v>3358</v>
      </c>
      <c r="E20" s="22" t="s">
        <v>16</v>
      </c>
      <c r="F20" s="22" t="s">
        <v>1063</v>
      </c>
      <c r="G20" s="22" t="s">
        <v>25</v>
      </c>
      <c r="H20" s="22" t="s">
        <v>58</v>
      </c>
      <c r="I20" s="52" t="s">
        <v>33</v>
      </c>
      <c r="J20" s="52"/>
      <c r="K20" s="22" t="s">
        <v>2455</v>
      </c>
      <c r="L20" s="22" t="s">
        <v>3359</v>
      </c>
      <c r="M20" s="22" t="s">
        <v>2594</v>
      </c>
    </row>
    <row r="21" spans="1:13" ht="12.75">
      <c r="A21" s="11" t="s">
        <v>3222</v>
      </c>
      <c r="B21" s="26" t="s">
        <v>3223</v>
      </c>
      <c r="C21" s="26" t="s">
        <v>320</v>
      </c>
      <c r="D21" s="26" t="s">
        <v>3224</v>
      </c>
      <c r="E21" s="26" t="s">
        <v>16</v>
      </c>
      <c r="F21" s="26" t="s">
        <v>1492</v>
      </c>
      <c r="G21" s="26" t="s">
        <v>58</v>
      </c>
      <c r="H21" s="53"/>
      <c r="I21" s="53"/>
      <c r="J21" s="53"/>
      <c r="K21" s="26" t="s">
        <v>2455</v>
      </c>
      <c r="L21" s="26" t="s">
        <v>3360</v>
      </c>
      <c r="M21" s="26" t="s">
        <v>2594</v>
      </c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134" t="s">
        <v>94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4"/>
    </row>
    <row r="24" spans="1:13" ht="12.75">
      <c r="A24" s="5" t="s">
        <v>3361</v>
      </c>
      <c r="B24" s="54" t="s">
        <v>3362</v>
      </c>
      <c r="C24" s="54" t="s">
        <v>1830</v>
      </c>
      <c r="D24" s="54" t="s">
        <v>3363</v>
      </c>
      <c r="E24" s="54" t="s">
        <v>16</v>
      </c>
      <c r="F24" s="54" t="s">
        <v>1532</v>
      </c>
      <c r="G24" s="55" t="s">
        <v>35</v>
      </c>
      <c r="H24" s="54" t="s">
        <v>35</v>
      </c>
      <c r="I24" s="55" t="s">
        <v>36</v>
      </c>
      <c r="J24" s="55"/>
      <c r="K24" s="54" t="s">
        <v>2277</v>
      </c>
      <c r="L24" s="54" t="s">
        <v>3364</v>
      </c>
      <c r="M24" s="54" t="s">
        <v>3365</v>
      </c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134" t="s">
        <v>51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4"/>
    </row>
    <row r="27" spans="1:13" ht="12.75">
      <c r="A27" s="5" t="s">
        <v>3236</v>
      </c>
      <c r="B27" s="54" t="s">
        <v>3237</v>
      </c>
      <c r="C27" s="54" t="s">
        <v>1125</v>
      </c>
      <c r="D27" s="54" t="s">
        <v>3238</v>
      </c>
      <c r="E27" s="54" t="s">
        <v>16</v>
      </c>
      <c r="F27" s="54" t="s">
        <v>108</v>
      </c>
      <c r="G27" s="54" t="s">
        <v>18</v>
      </c>
      <c r="H27" s="55"/>
      <c r="I27" s="55"/>
      <c r="J27" s="55"/>
      <c r="K27" s="54" t="s">
        <v>2076</v>
      </c>
      <c r="L27" s="54" t="s">
        <v>3366</v>
      </c>
      <c r="M27" s="54" t="s">
        <v>3241</v>
      </c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134" t="s">
        <v>40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4"/>
    </row>
    <row r="30" spans="1:13" ht="12.75">
      <c r="A30" s="7" t="s">
        <v>3367</v>
      </c>
      <c r="B30" s="25" t="s">
        <v>3368</v>
      </c>
      <c r="C30" s="25" t="s">
        <v>3369</v>
      </c>
      <c r="D30" s="25" t="s">
        <v>3370</v>
      </c>
      <c r="E30" s="25" t="s">
        <v>1484</v>
      </c>
      <c r="F30" s="25" t="s">
        <v>2621</v>
      </c>
      <c r="G30" s="25" t="s">
        <v>88</v>
      </c>
      <c r="H30" s="25" t="s">
        <v>113</v>
      </c>
      <c r="I30" s="51" t="s">
        <v>74</v>
      </c>
      <c r="J30" s="51" t="s">
        <v>74</v>
      </c>
      <c r="K30" s="25" t="s">
        <v>2633</v>
      </c>
      <c r="L30" s="25" t="s">
        <v>3371</v>
      </c>
      <c r="M30" s="25" t="s">
        <v>2594</v>
      </c>
    </row>
    <row r="31" spans="1:13" ht="12.75">
      <c r="A31" s="9" t="s">
        <v>3372</v>
      </c>
      <c r="B31" s="22" t="s">
        <v>3373</v>
      </c>
      <c r="C31" s="22" t="s">
        <v>3374</v>
      </c>
      <c r="D31" s="22" t="s">
        <v>3375</v>
      </c>
      <c r="E31" s="22" t="s">
        <v>3376</v>
      </c>
      <c r="F31" s="22" t="s">
        <v>3377</v>
      </c>
      <c r="G31" s="22" t="s">
        <v>56</v>
      </c>
      <c r="H31" s="22" t="s">
        <v>88</v>
      </c>
      <c r="I31" s="52" t="s">
        <v>57</v>
      </c>
      <c r="J31" s="52" t="s">
        <v>411</v>
      </c>
      <c r="K31" s="22" t="s">
        <v>2251</v>
      </c>
      <c r="L31" s="22" t="s">
        <v>3378</v>
      </c>
      <c r="M31" s="22" t="s">
        <v>2594</v>
      </c>
    </row>
    <row r="32" spans="1:13" ht="12.75">
      <c r="A32" s="11" t="s">
        <v>3379</v>
      </c>
      <c r="B32" s="26" t="s">
        <v>3380</v>
      </c>
      <c r="C32" s="26" t="s">
        <v>320</v>
      </c>
      <c r="D32" s="26" t="s">
        <v>3381</v>
      </c>
      <c r="E32" s="26" t="s">
        <v>3376</v>
      </c>
      <c r="F32" s="26" t="s">
        <v>3377</v>
      </c>
      <c r="G32" s="26" t="s">
        <v>88</v>
      </c>
      <c r="H32" s="53" t="s">
        <v>113</v>
      </c>
      <c r="I32" s="53" t="s">
        <v>113</v>
      </c>
      <c r="J32" s="53"/>
      <c r="K32" s="26" t="s">
        <v>2251</v>
      </c>
      <c r="L32" s="26" t="s">
        <v>3382</v>
      </c>
      <c r="M32" s="26" t="s">
        <v>2594</v>
      </c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134" t="s">
        <v>46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4"/>
    </row>
    <row r="35" spans="1:13" ht="12.75">
      <c r="A35" s="5" t="s">
        <v>1562</v>
      </c>
      <c r="B35" s="54" t="s">
        <v>3383</v>
      </c>
      <c r="C35" s="54" t="s">
        <v>1663</v>
      </c>
      <c r="D35" s="54" t="s">
        <v>2184</v>
      </c>
      <c r="E35" s="54" t="s">
        <v>16</v>
      </c>
      <c r="F35" s="54" t="s">
        <v>436</v>
      </c>
      <c r="G35" s="54" t="s">
        <v>65</v>
      </c>
      <c r="H35" s="55" t="s">
        <v>63</v>
      </c>
      <c r="I35" s="55" t="s">
        <v>63</v>
      </c>
      <c r="J35" s="54" t="s">
        <v>63</v>
      </c>
      <c r="K35" s="54" t="s">
        <v>2511</v>
      </c>
      <c r="L35" s="54" t="s">
        <v>3384</v>
      </c>
      <c r="M35" s="54" t="s">
        <v>2594</v>
      </c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>
      <c r="A37" s="134" t="s">
        <v>94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4"/>
    </row>
    <row r="38" spans="1:13" ht="12.75">
      <c r="A38" s="7" t="s">
        <v>3385</v>
      </c>
      <c r="B38" s="25" t="s">
        <v>972</v>
      </c>
      <c r="C38" s="25" t="s">
        <v>97</v>
      </c>
      <c r="D38" s="25" t="s">
        <v>1788</v>
      </c>
      <c r="E38" s="25" t="s">
        <v>1653</v>
      </c>
      <c r="F38" s="25" t="s">
        <v>3247</v>
      </c>
      <c r="G38" s="25" t="s">
        <v>68</v>
      </c>
      <c r="H38" s="51" t="s">
        <v>79</v>
      </c>
      <c r="I38" s="51" t="s">
        <v>79</v>
      </c>
      <c r="J38" s="51"/>
      <c r="K38" s="25" t="s">
        <v>2338</v>
      </c>
      <c r="L38" s="25" t="s">
        <v>3386</v>
      </c>
      <c r="M38" s="25" t="s">
        <v>2594</v>
      </c>
    </row>
    <row r="39" spans="1:13" ht="12.75">
      <c r="A39" s="9" t="s">
        <v>3387</v>
      </c>
      <c r="B39" s="22" t="s">
        <v>3388</v>
      </c>
      <c r="C39" s="22" t="s">
        <v>1856</v>
      </c>
      <c r="D39" s="22" t="s">
        <v>1857</v>
      </c>
      <c r="E39" s="22" t="s">
        <v>23</v>
      </c>
      <c r="F39" s="22" t="s">
        <v>1715</v>
      </c>
      <c r="G39" s="52" t="s">
        <v>65</v>
      </c>
      <c r="H39" s="52" t="s">
        <v>65</v>
      </c>
      <c r="I39" s="52"/>
      <c r="J39" s="52"/>
      <c r="K39" s="22" t="s">
        <v>2050</v>
      </c>
      <c r="L39" s="22" t="s">
        <v>1636</v>
      </c>
      <c r="M39" s="22" t="s">
        <v>3389</v>
      </c>
    </row>
    <row r="40" spans="1:13" ht="12.75">
      <c r="A40" s="11" t="s">
        <v>3390</v>
      </c>
      <c r="B40" s="26" t="s">
        <v>3391</v>
      </c>
      <c r="C40" s="26" t="s">
        <v>393</v>
      </c>
      <c r="D40" s="26" t="s">
        <v>3392</v>
      </c>
      <c r="E40" s="26" t="s">
        <v>16</v>
      </c>
      <c r="F40" s="26" t="s">
        <v>369</v>
      </c>
      <c r="G40" s="53" t="s">
        <v>63</v>
      </c>
      <c r="H40" s="53"/>
      <c r="I40" s="53"/>
      <c r="J40" s="53"/>
      <c r="K40" s="26" t="s">
        <v>2050</v>
      </c>
      <c r="L40" s="26" t="s">
        <v>1636</v>
      </c>
      <c r="M40" s="26" t="s">
        <v>2594</v>
      </c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134" t="s">
        <v>111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4"/>
    </row>
    <row r="43" spans="1:13" ht="12.75">
      <c r="A43" s="5" t="s">
        <v>3393</v>
      </c>
      <c r="B43" s="54" t="s">
        <v>3558</v>
      </c>
      <c r="C43" s="54" t="s">
        <v>132</v>
      </c>
      <c r="D43" s="54" t="s">
        <v>1981</v>
      </c>
      <c r="E43" s="54" t="s">
        <v>16</v>
      </c>
      <c r="F43" s="54" t="s">
        <v>861</v>
      </c>
      <c r="G43" s="54" t="s">
        <v>77</v>
      </c>
      <c r="H43" s="54" t="s">
        <v>3394</v>
      </c>
      <c r="I43" s="55"/>
      <c r="J43" s="55"/>
      <c r="K43" s="54" t="s">
        <v>3395</v>
      </c>
      <c r="L43" s="54" t="s">
        <v>3396</v>
      </c>
      <c r="M43" s="54" t="s">
        <v>3397</v>
      </c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>
      <c r="A45" s="134" t="s">
        <v>136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4"/>
    </row>
    <row r="46" spans="1:13" ht="12.75">
      <c r="A46" s="7" t="s">
        <v>3398</v>
      </c>
      <c r="B46" s="25" t="s">
        <v>3399</v>
      </c>
      <c r="C46" s="25" t="s">
        <v>2808</v>
      </c>
      <c r="D46" s="25" t="s">
        <v>2809</v>
      </c>
      <c r="E46" s="25" t="s">
        <v>1484</v>
      </c>
      <c r="F46" s="25" t="s">
        <v>3400</v>
      </c>
      <c r="G46" s="25" t="s">
        <v>79</v>
      </c>
      <c r="H46" s="25" t="s">
        <v>72</v>
      </c>
      <c r="I46" s="25" t="s">
        <v>80</v>
      </c>
      <c r="J46" s="51" t="s">
        <v>3401</v>
      </c>
      <c r="K46" s="25" t="s">
        <v>80</v>
      </c>
      <c r="L46" s="25" t="s">
        <v>3402</v>
      </c>
      <c r="M46" s="25" t="s">
        <v>2594</v>
      </c>
    </row>
    <row r="47" spans="1:13" ht="12.75">
      <c r="A47" s="9" t="s">
        <v>3403</v>
      </c>
      <c r="B47" s="22" t="s">
        <v>3404</v>
      </c>
      <c r="C47" s="22" t="s">
        <v>3405</v>
      </c>
      <c r="D47" s="22" t="s">
        <v>3406</v>
      </c>
      <c r="E47" s="22" t="s">
        <v>16</v>
      </c>
      <c r="F47" s="22" t="s">
        <v>1614</v>
      </c>
      <c r="G47" s="22" t="s">
        <v>63</v>
      </c>
      <c r="H47" s="52" t="s">
        <v>77</v>
      </c>
      <c r="I47" s="22" t="s">
        <v>77</v>
      </c>
      <c r="J47" s="52" t="s">
        <v>116</v>
      </c>
      <c r="K47" s="22" t="s">
        <v>2531</v>
      </c>
      <c r="L47" s="22" t="s">
        <v>3407</v>
      </c>
      <c r="M47" s="22" t="s">
        <v>3408</v>
      </c>
    </row>
    <row r="48" spans="1:13" ht="12.75">
      <c r="A48" s="9" t="s">
        <v>3409</v>
      </c>
      <c r="B48" s="22" t="s">
        <v>3410</v>
      </c>
      <c r="C48" s="22" t="s">
        <v>2808</v>
      </c>
      <c r="D48" s="22" t="s">
        <v>2809</v>
      </c>
      <c r="E48" s="22" t="s">
        <v>1670</v>
      </c>
      <c r="F48" s="22" t="s">
        <v>1671</v>
      </c>
      <c r="G48" s="22" t="s">
        <v>113</v>
      </c>
      <c r="H48" s="22" t="s">
        <v>68</v>
      </c>
      <c r="I48" s="52" t="s">
        <v>79</v>
      </c>
      <c r="J48" s="52" t="s">
        <v>79</v>
      </c>
      <c r="K48" s="22" t="s">
        <v>2338</v>
      </c>
      <c r="L48" s="22" t="s">
        <v>3411</v>
      </c>
      <c r="M48" s="22" t="s">
        <v>2594</v>
      </c>
    </row>
    <row r="49" spans="1:13" ht="12.75">
      <c r="A49" s="9" t="s">
        <v>3412</v>
      </c>
      <c r="B49" s="22" t="s">
        <v>3413</v>
      </c>
      <c r="C49" s="22" t="s">
        <v>2698</v>
      </c>
      <c r="D49" s="22" t="s">
        <v>2699</v>
      </c>
      <c r="E49" s="22" t="s">
        <v>2178</v>
      </c>
      <c r="F49" s="22" t="s">
        <v>2408</v>
      </c>
      <c r="G49" s="22" t="s">
        <v>57</v>
      </c>
      <c r="H49" s="52"/>
      <c r="I49" s="52"/>
      <c r="J49" s="52"/>
      <c r="K49" s="22" t="s">
        <v>2409</v>
      </c>
      <c r="L49" s="22" t="s">
        <v>3414</v>
      </c>
      <c r="M49" s="22" t="s">
        <v>2594</v>
      </c>
    </row>
    <row r="50" spans="1:13" ht="12.75">
      <c r="A50" s="11" t="s">
        <v>3415</v>
      </c>
      <c r="B50" s="26" t="s">
        <v>3416</v>
      </c>
      <c r="C50" s="26" t="s">
        <v>2800</v>
      </c>
      <c r="D50" s="26" t="s">
        <v>2801</v>
      </c>
      <c r="E50" s="26" t="s">
        <v>78</v>
      </c>
      <c r="F50" s="26" t="s">
        <v>3243</v>
      </c>
      <c r="G50" s="26" t="s">
        <v>57</v>
      </c>
      <c r="H50" s="53" t="s">
        <v>74</v>
      </c>
      <c r="I50" s="53" t="s">
        <v>74</v>
      </c>
      <c r="J50" s="53" t="s">
        <v>68</v>
      </c>
      <c r="K50" s="26" t="s">
        <v>2409</v>
      </c>
      <c r="L50" s="26" t="s">
        <v>3417</v>
      </c>
      <c r="M50" s="26" t="s">
        <v>2594</v>
      </c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134" t="s">
        <v>138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4"/>
    </row>
    <row r="53" spans="1:13" ht="12.75">
      <c r="A53" s="5" t="s">
        <v>3418</v>
      </c>
      <c r="B53" s="54" t="s">
        <v>3419</v>
      </c>
      <c r="C53" s="54" t="s">
        <v>3131</v>
      </c>
      <c r="D53" s="54" t="s">
        <v>3132</v>
      </c>
      <c r="E53" s="54" t="s">
        <v>16</v>
      </c>
      <c r="F53" s="54" t="s">
        <v>3420</v>
      </c>
      <c r="G53" s="54" t="s">
        <v>77</v>
      </c>
      <c r="H53" s="55" t="s">
        <v>446</v>
      </c>
      <c r="I53" s="55"/>
      <c r="J53" s="55"/>
      <c r="K53" s="54" t="s">
        <v>2531</v>
      </c>
      <c r="L53" s="54" t="s">
        <v>3421</v>
      </c>
      <c r="M53" s="54" t="s">
        <v>3422</v>
      </c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134" t="s">
        <v>576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4"/>
    </row>
    <row r="56" spans="1:13" ht="12.75">
      <c r="A56" s="7" t="s">
        <v>3423</v>
      </c>
      <c r="B56" s="25" t="s">
        <v>3424</v>
      </c>
      <c r="C56" s="25" t="s">
        <v>3425</v>
      </c>
      <c r="D56" s="25" t="s">
        <v>3426</v>
      </c>
      <c r="E56" s="25" t="s">
        <v>3427</v>
      </c>
      <c r="F56" s="25" t="s">
        <v>1811</v>
      </c>
      <c r="G56" s="25" t="s">
        <v>1925</v>
      </c>
      <c r="H56" s="25" t="s">
        <v>1745</v>
      </c>
      <c r="I56" s="25" t="s">
        <v>115</v>
      </c>
      <c r="J56" s="51" t="s">
        <v>106</v>
      </c>
      <c r="K56" s="25" t="s">
        <v>2556</v>
      </c>
      <c r="L56" s="25" t="s">
        <v>3428</v>
      </c>
      <c r="M56" s="25" t="s">
        <v>2594</v>
      </c>
    </row>
    <row r="57" spans="1:13" ht="12.75">
      <c r="A57" s="9" t="s">
        <v>3429</v>
      </c>
      <c r="B57" s="22" t="s">
        <v>3430</v>
      </c>
      <c r="C57" s="22" t="s">
        <v>3431</v>
      </c>
      <c r="D57" s="22" t="s">
        <v>3432</v>
      </c>
      <c r="E57" s="22" t="s">
        <v>1386</v>
      </c>
      <c r="F57" s="22" t="s">
        <v>2242</v>
      </c>
      <c r="G57" s="22" t="s">
        <v>73</v>
      </c>
      <c r="H57" s="22" t="s">
        <v>1745</v>
      </c>
      <c r="I57" s="22" t="s">
        <v>115</v>
      </c>
      <c r="J57" s="52" t="s">
        <v>447</v>
      </c>
      <c r="K57" s="22" t="s">
        <v>2556</v>
      </c>
      <c r="L57" s="22" t="s">
        <v>3433</v>
      </c>
      <c r="M57" s="22" t="s">
        <v>2594</v>
      </c>
    </row>
    <row r="58" spans="1:13" ht="12.75">
      <c r="A58" s="9" t="s">
        <v>3434</v>
      </c>
      <c r="B58" s="22" t="s">
        <v>3435</v>
      </c>
      <c r="C58" s="22" t="s">
        <v>3436</v>
      </c>
      <c r="D58" s="22" t="s">
        <v>3437</v>
      </c>
      <c r="E58" s="22" t="s">
        <v>16</v>
      </c>
      <c r="F58" s="22" t="s">
        <v>938</v>
      </c>
      <c r="G58" s="52" t="s">
        <v>83</v>
      </c>
      <c r="H58" s="22" t="s">
        <v>83</v>
      </c>
      <c r="I58" s="52" t="s">
        <v>446</v>
      </c>
      <c r="J58" s="52" t="s">
        <v>446</v>
      </c>
      <c r="K58" s="22" t="s">
        <v>2611</v>
      </c>
      <c r="L58" s="22" t="s">
        <v>3438</v>
      </c>
      <c r="M58" s="22" t="s">
        <v>3439</v>
      </c>
    </row>
    <row r="59" spans="1:13" ht="12.75">
      <c r="A59" s="9" t="s">
        <v>3440</v>
      </c>
      <c r="B59" s="22" t="s">
        <v>3441</v>
      </c>
      <c r="C59" s="22" t="s">
        <v>3442</v>
      </c>
      <c r="D59" s="22" t="s">
        <v>3443</v>
      </c>
      <c r="E59" s="22" t="s">
        <v>1386</v>
      </c>
      <c r="F59" s="22" t="s">
        <v>2242</v>
      </c>
      <c r="G59" s="52" t="s">
        <v>83</v>
      </c>
      <c r="H59" s="22" t="s">
        <v>83</v>
      </c>
      <c r="I59" s="52" t="s">
        <v>446</v>
      </c>
      <c r="J59" s="52" t="s">
        <v>115</v>
      </c>
      <c r="K59" s="22" t="s">
        <v>2611</v>
      </c>
      <c r="L59" s="22" t="s">
        <v>3444</v>
      </c>
      <c r="M59" s="22" t="s">
        <v>2594</v>
      </c>
    </row>
    <row r="60" spans="1:13" ht="12.75">
      <c r="A60" s="9" t="s">
        <v>3445</v>
      </c>
      <c r="B60" s="22" t="s">
        <v>3446</v>
      </c>
      <c r="C60" s="22" t="s">
        <v>3447</v>
      </c>
      <c r="D60" s="22" t="s">
        <v>3448</v>
      </c>
      <c r="E60" s="22" t="s">
        <v>78</v>
      </c>
      <c r="F60" s="22" t="s">
        <v>3449</v>
      </c>
      <c r="G60" s="22" t="s">
        <v>65</v>
      </c>
      <c r="H60" s="22" t="s">
        <v>77</v>
      </c>
      <c r="I60" s="22" t="s">
        <v>73</v>
      </c>
      <c r="J60" s="52" t="s">
        <v>83</v>
      </c>
      <c r="K60" s="22" t="s">
        <v>2529</v>
      </c>
      <c r="L60" s="22" t="s">
        <v>3450</v>
      </c>
      <c r="M60" s="22" t="s">
        <v>2594</v>
      </c>
    </row>
    <row r="61" spans="1:13" ht="12.75">
      <c r="A61" s="9" t="s">
        <v>3451</v>
      </c>
      <c r="B61" s="22" t="s">
        <v>3452</v>
      </c>
      <c r="C61" s="22" t="s">
        <v>3453</v>
      </c>
      <c r="D61" s="22" t="s">
        <v>3454</v>
      </c>
      <c r="E61" s="22" t="s">
        <v>16</v>
      </c>
      <c r="F61" s="22" t="s">
        <v>3455</v>
      </c>
      <c r="G61" s="22" t="s">
        <v>63</v>
      </c>
      <c r="H61" s="22" t="s">
        <v>77</v>
      </c>
      <c r="I61" s="52" t="s">
        <v>73</v>
      </c>
      <c r="J61" s="52" t="s">
        <v>73</v>
      </c>
      <c r="K61" s="22" t="s">
        <v>2531</v>
      </c>
      <c r="L61" s="22" t="s">
        <v>3456</v>
      </c>
      <c r="M61" s="22" t="s">
        <v>2594</v>
      </c>
    </row>
    <row r="62" spans="1:13" ht="12.75">
      <c r="A62" s="9" t="s">
        <v>3457</v>
      </c>
      <c r="B62" s="22" t="s">
        <v>3458</v>
      </c>
      <c r="C62" s="22" t="s">
        <v>590</v>
      </c>
      <c r="D62" s="22" t="s">
        <v>3459</v>
      </c>
      <c r="E62" s="22" t="s">
        <v>16</v>
      </c>
      <c r="F62" s="22" t="s">
        <v>424</v>
      </c>
      <c r="G62" s="22" t="s">
        <v>72</v>
      </c>
      <c r="H62" s="52" t="s">
        <v>1925</v>
      </c>
      <c r="I62" s="52" t="s">
        <v>1925</v>
      </c>
      <c r="J62" s="52" t="s">
        <v>1925</v>
      </c>
      <c r="K62" s="22" t="s">
        <v>2922</v>
      </c>
      <c r="L62" s="22" t="s">
        <v>3460</v>
      </c>
      <c r="M62" s="22" t="s">
        <v>2594</v>
      </c>
    </row>
    <row r="63" spans="1:13" ht="12.75">
      <c r="A63" s="11" t="s">
        <v>3461</v>
      </c>
      <c r="B63" s="26" t="s">
        <v>3462</v>
      </c>
      <c r="C63" s="26" t="s">
        <v>3463</v>
      </c>
      <c r="D63" s="26" t="s">
        <v>3464</v>
      </c>
      <c r="E63" s="26" t="s">
        <v>2774</v>
      </c>
      <c r="F63" s="26" t="s">
        <v>3465</v>
      </c>
      <c r="G63" s="26" t="s">
        <v>411</v>
      </c>
      <c r="H63" s="53" t="s">
        <v>313</v>
      </c>
      <c r="I63" s="53" t="s">
        <v>313</v>
      </c>
      <c r="J63" s="53"/>
      <c r="K63" s="26" t="s">
        <v>411</v>
      </c>
      <c r="L63" s="26" t="s">
        <v>3466</v>
      </c>
      <c r="M63" s="26" t="s">
        <v>2594</v>
      </c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>
      <c r="A65" s="134" t="s">
        <v>591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4"/>
    </row>
    <row r="66" spans="1:13" ht="12.75">
      <c r="A66" s="5" t="s">
        <v>1844</v>
      </c>
      <c r="B66" s="54" t="s">
        <v>3467</v>
      </c>
      <c r="C66" s="54" t="s">
        <v>3468</v>
      </c>
      <c r="D66" s="54" t="s">
        <v>3469</v>
      </c>
      <c r="E66" s="54" t="s">
        <v>78</v>
      </c>
      <c r="F66" s="54" t="s">
        <v>3247</v>
      </c>
      <c r="G66" s="54" t="s">
        <v>73</v>
      </c>
      <c r="H66" s="55" t="s">
        <v>103</v>
      </c>
      <c r="I66" s="54" t="s">
        <v>103</v>
      </c>
      <c r="J66" s="55" t="s">
        <v>3470</v>
      </c>
      <c r="K66" s="54" t="s">
        <v>3471</v>
      </c>
      <c r="L66" s="54" t="s">
        <v>3472</v>
      </c>
      <c r="M66" s="54" t="s">
        <v>2594</v>
      </c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8">
      <c r="A68" s="14" t="s">
        <v>140</v>
      </c>
      <c r="B68" s="1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15" t="s">
        <v>595</v>
      </c>
      <c r="B69" s="1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4.25">
      <c r="A70" s="17"/>
      <c r="B70" s="18" t="s">
        <v>3313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19" t="s">
        <v>597</v>
      </c>
      <c r="B71" s="39" t="s">
        <v>598</v>
      </c>
      <c r="C71" s="39" t="s">
        <v>599</v>
      </c>
      <c r="D71" s="39" t="s">
        <v>600</v>
      </c>
      <c r="E71" s="39" t="s">
        <v>601</v>
      </c>
      <c r="F71" s="4"/>
      <c r="G71" s="4"/>
      <c r="H71" s="4"/>
      <c r="I71" s="4"/>
      <c r="J71" s="4"/>
      <c r="K71" s="4"/>
      <c r="L71" s="4"/>
      <c r="M71" s="4"/>
    </row>
    <row r="72" spans="1:13" ht="12.75">
      <c r="A72" s="16" t="s">
        <v>3350</v>
      </c>
      <c r="B72" s="4" t="s">
        <v>3314</v>
      </c>
      <c r="C72" s="4" t="s">
        <v>606</v>
      </c>
      <c r="D72" s="4" t="s">
        <v>410</v>
      </c>
      <c r="E72" s="20" t="s">
        <v>3354</v>
      </c>
      <c r="F72" s="4"/>
      <c r="G72" s="4"/>
      <c r="H72" s="4"/>
      <c r="I72" s="4"/>
      <c r="J72" s="4"/>
      <c r="K72" s="4"/>
      <c r="L72" s="4"/>
      <c r="M72" s="4"/>
    </row>
    <row r="73" spans="1:13" ht="12.75">
      <c r="A73" s="16" t="s">
        <v>3327</v>
      </c>
      <c r="B73" s="4" t="s">
        <v>3314</v>
      </c>
      <c r="C73" s="4" t="s">
        <v>609</v>
      </c>
      <c r="D73" s="4" t="s">
        <v>169</v>
      </c>
      <c r="E73" s="20" t="s">
        <v>3330</v>
      </c>
      <c r="F73" s="4"/>
      <c r="G73" s="4"/>
      <c r="H73" s="4"/>
      <c r="I73" s="4"/>
      <c r="J73" s="4"/>
      <c r="K73" s="4"/>
      <c r="L73" s="4"/>
      <c r="M73" s="4"/>
    </row>
    <row r="74" spans="1:13" ht="12.75">
      <c r="A74" s="16" t="s">
        <v>3205</v>
      </c>
      <c r="B74" s="4" t="s">
        <v>3314</v>
      </c>
      <c r="C74" s="4" t="s">
        <v>618</v>
      </c>
      <c r="D74" s="4" t="s">
        <v>18</v>
      </c>
      <c r="E74" s="20" t="s">
        <v>3326</v>
      </c>
      <c r="F74" s="4"/>
      <c r="G74" s="4"/>
      <c r="H74" s="4"/>
      <c r="I74" s="4"/>
      <c r="J74" s="4"/>
      <c r="K74" s="4"/>
      <c r="L74" s="4"/>
      <c r="M74" s="4"/>
    </row>
    <row r="75" spans="1:13" ht="12.75">
      <c r="A75" s="16" t="s">
        <v>3340</v>
      </c>
      <c r="B75" s="4" t="s">
        <v>3314</v>
      </c>
      <c r="C75" s="4" t="s">
        <v>2773</v>
      </c>
      <c r="D75" s="4" t="s">
        <v>25</v>
      </c>
      <c r="E75" s="20" t="s">
        <v>3343</v>
      </c>
      <c r="F75" s="4"/>
      <c r="G75" s="4"/>
      <c r="H75" s="4"/>
      <c r="I75" s="4"/>
      <c r="J75" s="4"/>
      <c r="K75" s="4"/>
      <c r="L75" s="4"/>
      <c r="M75" s="4"/>
    </row>
    <row r="76" spans="1:13" ht="12.75">
      <c r="A76" s="16" t="s">
        <v>3210</v>
      </c>
      <c r="B76" s="4" t="s">
        <v>3314</v>
      </c>
      <c r="C76" s="4" t="s">
        <v>2773</v>
      </c>
      <c r="D76" s="4" t="s">
        <v>25</v>
      </c>
      <c r="E76" s="20" t="s">
        <v>3344</v>
      </c>
      <c r="F76" s="4"/>
      <c r="G76" s="4"/>
      <c r="H76" s="4"/>
      <c r="I76" s="4"/>
      <c r="J76" s="4"/>
      <c r="K76" s="4"/>
      <c r="L76" s="4"/>
      <c r="M76" s="4"/>
    </row>
    <row r="77" spans="1:13" ht="12.75">
      <c r="A77" s="16" t="s">
        <v>3361</v>
      </c>
      <c r="B77" s="4" t="s">
        <v>3314</v>
      </c>
      <c r="C77" s="4" t="s">
        <v>638</v>
      </c>
      <c r="D77" s="4" t="s">
        <v>35</v>
      </c>
      <c r="E77" s="20" t="s">
        <v>3364</v>
      </c>
      <c r="F77" s="4"/>
      <c r="G77" s="4"/>
      <c r="H77" s="4"/>
      <c r="I77" s="4"/>
      <c r="J77" s="4"/>
      <c r="K77" s="4"/>
      <c r="L77" s="4"/>
      <c r="M77" s="4"/>
    </row>
    <row r="78" spans="1:13" ht="12.75">
      <c r="A78" s="16" t="s">
        <v>3345</v>
      </c>
      <c r="B78" s="4" t="s">
        <v>3314</v>
      </c>
      <c r="C78" s="4" t="s">
        <v>2773</v>
      </c>
      <c r="D78" s="4" t="s">
        <v>24</v>
      </c>
      <c r="E78" s="20" t="s">
        <v>3349</v>
      </c>
      <c r="F78" s="4"/>
      <c r="G78" s="4"/>
      <c r="H78" s="4"/>
      <c r="I78" s="4"/>
      <c r="J78" s="4"/>
      <c r="K78" s="4"/>
      <c r="L78" s="4"/>
      <c r="M78" s="4"/>
    </row>
    <row r="79" spans="1:13" ht="12.75">
      <c r="A79" s="16" t="s">
        <v>3355</v>
      </c>
      <c r="B79" s="4" t="s">
        <v>3314</v>
      </c>
      <c r="C79" s="4" t="s">
        <v>606</v>
      </c>
      <c r="D79" s="4" t="s">
        <v>58</v>
      </c>
      <c r="E79" s="20" t="s">
        <v>3359</v>
      </c>
      <c r="F79" s="4"/>
      <c r="G79" s="4"/>
      <c r="H79" s="4"/>
      <c r="I79" s="4"/>
      <c r="J79" s="4"/>
      <c r="K79" s="4"/>
      <c r="L79" s="4"/>
      <c r="M79" s="4"/>
    </row>
    <row r="80" spans="1:13" ht="12.75">
      <c r="A80" s="16" t="s">
        <v>3222</v>
      </c>
      <c r="B80" s="4" t="s">
        <v>3314</v>
      </c>
      <c r="C80" s="4" t="s">
        <v>606</v>
      </c>
      <c r="D80" s="4" t="s">
        <v>58</v>
      </c>
      <c r="E80" s="20" t="s">
        <v>3360</v>
      </c>
      <c r="F80" s="4"/>
      <c r="G80" s="4"/>
      <c r="H80" s="4"/>
      <c r="I80" s="4"/>
      <c r="J80" s="4"/>
      <c r="K80" s="4"/>
      <c r="L80" s="4"/>
      <c r="M80" s="4"/>
    </row>
    <row r="81" spans="1:13" ht="12.75">
      <c r="A81" s="16" t="s">
        <v>3331</v>
      </c>
      <c r="B81" s="4" t="s">
        <v>3314</v>
      </c>
      <c r="C81" s="4" t="s">
        <v>609</v>
      </c>
      <c r="D81" s="4" t="s">
        <v>20</v>
      </c>
      <c r="E81" s="20" t="s">
        <v>3334</v>
      </c>
      <c r="F81" s="4"/>
      <c r="G81" s="4"/>
      <c r="H81" s="4"/>
      <c r="I81" s="4"/>
      <c r="J81" s="4"/>
      <c r="K81" s="4"/>
      <c r="L81" s="4"/>
      <c r="M81" s="4"/>
    </row>
    <row r="82" spans="1:13" ht="12.75">
      <c r="A82" s="16" t="s">
        <v>3335</v>
      </c>
      <c r="B82" s="4" t="s">
        <v>3314</v>
      </c>
      <c r="C82" s="4" t="s">
        <v>609</v>
      </c>
      <c r="D82" s="4" t="s">
        <v>268</v>
      </c>
      <c r="E82" s="20" t="s">
        <v>3338</v>
      </c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>
      <c r="A84" s="15" t="s">
        <v>637</v>
      </c>
      <c r="B84" s="1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4.25">
      <c r="A85" s="17"/>
      <c r="B85" s="18" t="s">
        <v>3313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>
      <c r="A86" s="19" t="s">
        <v>597</v>
      </c>
      <c r="B86" s="39" t="s">
        <v>598</v>
      </c>
      <c r="C86" s="39" t="s">
        <v>599</v>
      </c>
      <c r="D86" s="39" t="s">
        <v>600</v>
      </c>
      <c r="E86" s="39" t="s">
        <v>601</v>
      </c>
      <c r="F86" s="4"/>
      <c r="G86" s="4"/>
      <c r="H86" s="4"/>
      <c r="I86" s="4"/>
      <c r="J86" s="4"/>
      <c r="K86" s="4"/>
      <c r="L86" s="4"/>
      <c r="M86" s="4"/>
    </row>
    <row r="87" spans="1:13" ht="12.75">
      <c r="A87" s="16" t="s">
        <v>1562</v>
      </c>
      <c r="B87" s="4" t="s">
        <v>3314</v>
      </c>
      <c r="C87" s="4" t="s">
        <v>1608</v>
      </c>
      <c r="D87" s="4" t="s">
        <v>63</v>
      </c>
      <c r="E87" s="20" t="s">
        <v>3384</v>
      </c>
      <c r="F87" s="4"/>
      <c r="G87" s="4"/>
      <c r="H87" s="4"/>
      <c r="I87" s="4"/>
      <c r="J87" s="4"/>
      <c r="K87" s="4"/>
      <c r="L87" s="4"/>
      <c r="M87" s="4"/>
    </row>
    <row r="88" spans="1:13" ht="12.75">
      <c r="A88" s="16" t="s">
        <v>3367</v>
      </c>
      <c r="B88" s="4" t="s">
        <v>3314</v>
      </c>
      <c r="C88" s="4" t="s">
        <v>606</v>
      </c>
      <c r="D88" s="4" t="s">
        <v>113</v>
      </c>
      <c r="E88" s="20" t="s">
        <v>3371</v>
      </c>
      <c r="F88" s="4"/>
      <c r="G88" s="4"/>
      <c r="H88" s="4"/>
      <c r="I88" s="4"/>
      <c r="J88" s="4"/>
      <c r="K88" s="4"/>
      <c r="L88" s="4"/>
      <c r="M88" s="4"/>
    </row>
    <row r="89" spans="1:13" ht="12.75">
      <c r="A89" s="16" t="s">
        <v>3393</v>
      </c>
      <c r="B89" s="4" t="s">
        <v>3314</v>
      </c>
      <c r="C89" s="4" t="s">
        <v>662</v>
      </c>
      <c r="D89" s="4" t="s">
        <v>3394</v>
      </c>
      <c r="E89" s="20" t="s">
        <v>3396</v>
      </c>
      <c r="F89" s="4"/>
      <c r="G89" s="4"/>
      <c r="H89" s="4"/>
      <c r="I89" s="4"/>
      <c r="J89" s="4"/>
      <c r="K89" s="4"/>
      <c r="L89" s="4"/>
      <c r="M89" s="4"/>
    </row>
    <row r="90" spans="1:13" ht="12.75">
      <c r="A90" s="16" t="s">
        <v>3423</v>
      </c>
      <c r="B90" s="4" t="s">
        <v>3314</v>
      </c>
      <c r="C90" s="4" t="s">
        <v>665</v>
      </c>
      <c r="D90" s="4" t="s">
        <v>115</v>
      </c>
      <c r="E90" s="20" t="s">
        <v>3428</v>
      </c>
      <c r="F90" s="4"/>
      <c r="G90" s="4"/>
      <c r="H90" s="4"/>
      <c r="I90" s="4"/>
      <c r="J90" s="4"/>
      <c r="K90" s="4"/>
      <c r="L90" s="4"/>
      <c r="M90" s="4"/>
    </row>
    <row r="91" spans="1:13" ht="12.75">
      <c r="A91" s="16" t="s">
        <v>3372</v>
      </c>
      <c r="B91" s="4" t="s">
        <v>3314</v>
      </c>
      <c r="C91" s="4" t="s">
        <v>606</v>
      </c>
      <c r="D91" s="4" t="s">
        <v>88</v>
      </c>
      <c r="E91" s="20" t="s">
        <v>3378</v>
      </c>
      <c r="F91" s="4"/>
      <c r="G91" s="4"/>
      <c r="H91" s="4"/>
      <c r="I91" s="4"/>
      <c r="J91" s="4"/>
      <c r="K91" s="4"/>
      <c r="L91" s="4"/>
      <c r="M91" s="4"/>
    </row>
    <row r="92" spans="1:13" ht="12.75">
      <c r="A92" s="16" t="s">
        <v>3429</v>
      </c>
      <c r="B92" s="4" t="s">
        <v>3314</v>
      </c>
      <c r="C92" s="4" t="s">
        <v>665</v>
      </c>
      <c r="D92" s="4" t="s">
        <v>115</v>
      </c>
      <c r="E92" s="20" t="s">
        <v>3433</v>
      </c>
      <c r="F92" s="4"/>
      <c r="G92" s="4"/>
      <c r="H92" s="4"/>
      <c r="I92" s="4"/>
      <c r="J92" s="4"/>
      <c r="K92" s="4"/>
      <c r="L92" s="4"/>
      <c r="M92" s="4"/>
    </row>
    <row r="93" spans="1:13" ht="12.75">
      <c r="A93" s="16" t="s">
        <v>3434</v>
      </c>
      <c r="B93" s="4" t="s">
        <v>3314</v>
      </c>
      <c r="C93" s="4" t="s">
        <v>665</v>
      </c>
      <c r="D93" s="4" t="s">
        <v>83</v>
      </c>
      <c r="E93" s="20" t="s">
        <v>3438</v>
      </c>
      <c r="F93" s="4"/>
      <c r="G93" s="4"/>
      <c r="H93" s="4"/>
      <c r="I93" s="4"/>
      <c r="J93" s="4"/>
      <c r="K93" s="4"/>
      <c r="L93" s="4"/>
      <c r="M93" s="4"/>
    </row>
    <row r="94" spans="1:13" ht="12.75">
      <c r="A94" s="16" t="s">
        <v>1844</v>
      </c>
      <c r="B94" s="4" t="s">
        <v>3314</v>
      </c>
      <c r="C94" s="4" t="s">
        <v>704</v>
      </c>
      <c r="D94" s="4" t="s">
        <v>103</v>
      </c>
      <c r="E94" s="20" t="s">
        <v>3472</v>
      </c>
      <c r="F94" s="4"/>
      <c r="G94" s="4"/>
      <c r="H94" s="4"/>
      <c r="I94" s="4"/>
      <c r="J94" s="4"/>
      <c r="K94" s="4"/>
      <c r="L94" s="4"/>
      <c r="M94" s="4"/>
    </row>
    <row r="95" spans="1:13" ht="12.75">
      <c r="A95" s="16" t="s">
        <v>3440</v>
      </c>
      <c r="B95" s="4" t="s">
        <v>3314</v>
      </c>
      <c r="C95" s="4" t="s">
        <v>665</v>
      </c>
      <c r="D95" s="4" t="s">
        <v>83</v>
      </c>
      <c r="E95" s="20" t="s">
        <v>3444</v>
      </c>
      <c r="F95" s="4"/>
      <c r="G95" s="4"/>
      <c r="H95" s="4"/>
      <c r="I95" s="4"/>
      <c r="J95" s="4"/>
      <c r="K95" s="4"/>
      <c r="L95" s="4"/>
      <c r="M95" s="4"/>
    </row>
    <row r="96" spans="1:13" ht="12.75">
      <c r="A96" s="16" t="s">
        <v>3473</v>
      </c>
      <c r="B96" s="4" t="s">
        <v>3314</v>
      </c>
      <c r="C96" s="4" t="s">
        <v>649</v>
      </c>
      <c r="D96" s="4" t="s">
        <v>80</v>
      </c>
      <c r="E96" s="20" t="s">
        <v>3402</v>
      </c>
      <c r="F96" s="4"/>
      <c r="G96" s="4"/>
      <c r="H96" s="4"/>
      <c r="I96" s="4"/>
      <c r="J96" s="4"/>
      <c r="K96" s="4"/>
      <c r="L96" s="4"/>
      <c r="M96" s="4"/>
    </row>
    <row r="97" spans="1:13" ht="12.75">
      <c r="A97" s="16" t="s">
        <v>3403</v>
      </c>
      <c r="B97" s="4" t="s">
        <v>3314</v>
      </c>
      <c r="C97" s="4" t="s">
        <v>649</v>
      </c>
      <c r="D97" s="4" t="s">
        <v>77</v>
      </c>
      <c r="E97" s="20" t="s">
        <v>3407</v>
      </c>
      <c r="F97" s="4"/>
      <c r="G97" s="4"/>
      <c r="H97" s="4"/>
      <c r="I97" s="4"/>
      <c r="J97" s="4"/>
      <c r="K97" s="4"/>
      <c r="L97" s="4"/>
      <c r="M97" s="4"/>
    </row>
    <row r="98" spans="1:13" ht="12.75">
      <c r="A98" s="16" t="s">
        <v>3379</v>
      </c>
      <c r="B98" s="4" t="s">
        <v>3314</v>
      </c>
      <c r="C98" s="4" t="s">
        <v>606</v>
      </c>
      <c r="D98" s="4" t="s">
        <v>88</v>
      </c>
      <c r="E98" s="20" t="s">
        <v>3382</v>
      </c>
      <c r="F98" s="4"/>
      <c r="G98" s="4"/>
      <c r="H98" s="4"/>
      <c r="I98" s="4"/>
      <c r="J98" s="4"/>
      <c r="K98" s="4"/>
      <c r="L98" s="4"/>
      <c r="M98" s="4"/>
    </row>
    <row r="99" spans="1:13" ht="12.75">
      <c r="A99" s="16" t="s">
        <v>3445</v>
      </c>
      <c r="B99" s="4" t="s">
        <v>3314</v>
      </c>
      <c r="C99" s="4" t="s">
        <v>665</v>
      </c>
      <c r="D99" s="4" t="s">
        <v>73</v>
      </c>
      <c r="E99" s="20" t="s">
        <v>3450</v>
      </c>
      <c r="F99" s="4"/>
      <c r="G99" s="4"/>
      <c r="H99" s="4"/>
      <c r="I99" s="4"/>
      <c r="J99" s="4"/>
      <c r="K99" s="4"/>
      <c r="L99" s="4"/>
      <c r="M99" s="4"/>
    </row>
    <row r="100" spans="1:13" ht="12.75">
      <c r="A100" s="16" t="s">
        <v>3385</v>
      </c>
      <c r="B100" s="4" t="s">
        <v>3314</v>
      </c>
      <c r="C100" s="4" t="s">
        <v>638</v>
      </c>
      <c r="D100" s="4" t="s">
        <v>68</v>
      </c>
      <c r="E100" s="20" t="s">
        <v>3386</v>
      </c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16" t="s">
        <v>3418</v>
      </c>
      <c r="B101" s="4" t="s">
        <v>3314</v>
      </c>
      <c r="C101" s="4" t="s">
        <v>657</v>
      </c>
      <c r="D101" s="4" t="s">
        <v>77</v>
      </c>
      <c r="E101" s="20" t="s">
        <v>3421</v>
      </c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16" t="s">
        <v>3451</v>
      </c>
      <c r="B102" s="4" t="s">
        <v>3314</v>
      </c>
      <c r="C102" s="4" t="s">
        <v>665</v>
      </c>
      <c r="D102" s="4" t="s">
        <v>77</v>
      </c>
      <c r="E102" s="20" t="s">
        <v>3456</v>
      </c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16" t="s">
        <v>3457</v>
      </c>
      <c r="B103" s="4" t="s">
        <v>3314</v>
      </c>
      <c r="C103" s="4" t="s">
        <v>665</v>
      </c>
      <c r="D103" s="4" t="s">
        <v>72</v>
      </c>
      <c r="E103" s="20" t="s">
        <v>3460</v>
      </c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16" t="s">
        <v>3409</v>
      </c>
      <c r="B104" s="4" t="s">
        <v>3314</v>
      </c>
      <c r="C104" s="4" t="s">
        <v>649</v>
      </c>
      <c r="D104" s="4" t="s">
        <v>68</v>
      </c>
      <c r="E104" s="20" t="s">
        <v>3411</v>
      </c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16" t="s">
        <v>3412</v>
      </c>
      <c r="B105" s="4" t="s">
        <v>3314</v>
      </c>
      <c r="C105" s="4" t="s">
        <v>649</v>
      </c>
      <c r="D105" s="4" t="s">
        <v>57</v>
      </c>
      <c r="E105" s="20" t="s">
        <v>3414</v>
      </c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16" t="s">
        <v>3415</v>
      </c>
      <c r="B106" s="4" t="s">
        <v>3314</v>
      </c>
      <c r="C106" s="4" t="s">
        <v>649</v>
      </c>
      <c r="D106" s="4" t="s">
        <v>57</v>
      </c>
      <c r="E106" s="20" t="s">
        <v>3417</v>
      </c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16" t="s">
        <v>3461</v>
      </c>
      <c r="B107" s="4" t="s">
        <v>3314</v>
      </c>
      <c r="C107" s="4" t="s">
        <v>665</v>
      </c>
      <c r="D107" s="4" t="s">
        <v>411</v>
      </c>
      <c r="E107" s="20" t="s">
        <v>3466</v>
      </c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</sheetData>
  <sheetProtection/>
  <mergeCells count="26">
    <mergeCell ref="A1:M1"/>
    <mergeCell ref="A2:M2"/>
    <mergeCell ref="A3:A4"/>
    <mergeCell ref="B3:B4"/>
    <mergeCell ref="C3:C4"/>
    <mergeCell ref="D3:D4"/>
    <mergeCell ref="E3:E4"/>
    <mergeCell ref="F3:F4"/>
    <mergeCell ref="G3:J3"/>
    <mergeCell ref="A37:L37"/>
    <mergeCell ref="K3:K4"/>
    <mergeCell ref="L3:L4"/>
    <mergeCell ref="M3:M4"/>
    <mergeCell ref="A5:L5"/>
    <mergeCell ref="A8:L8"/>
    <mergeCell ref="A13:L13"/>
    <mergeCell ref="A42:L42"/>
    <mergeCell ref="A45:L45"/>
    <mergeCell ref="A52:L52"/>
    <mergeCell ref="A55:L55"/>
    <mergeCell ref="A65:L65"/>
    <mergeCell ref="A18:L18"/>
    <mergeCell ref="A23:L23"/>
    <mergeCell ref="A26:L26"/>
    <mergeCell ref="A29:L29"/>
    <mergeCell ref="A34:L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spr</cp:lastModifiedBy>
  <cp:lastPrinted>2015-07-16T19:10:53Z</cp:lastPrinted>
  <dcterms:created xsi:type="dcterms:W3CDTF">2002-06-16T13:36:44Z</dcterms:created>
  <dcterms:modified xsi:type="dcterms:W3CDTF">2016-11-30T10:45:59Z</dcterms:modified>
  <cp:category/>
  <cp:version/>
  <cp:contentType/>
  <cp:contentStatus/>
</cp:coreProperties>
</file>