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ohrmann Katalin\Desktop\2019\Eredmények 2019\"/>
    </mc:Choice>
  </mc:AlternateContent>
  <bookViews>
    <workbookView xWindow="0" yWindow="0" windowWidth="18765" windowHeight="6330"/>
  </bookViews>
  <sheets>
    <sheet name="WRPF ПЛ без экипировки ДК" sheetId="10" r:id="rId1"/>
    <sheet name="WRPF ПЛ без экипировки" sheetId="9" r:id="rId2"/>
    <sheet name="WRPF ПЛ в бинтах ДК" sheetId="6" r:id="rId3"/>
    <sheet name="WRPF ПЛ в бинтах" sheetId="5" r:id="rId4"/>
    <sheet name="WRPF Двоеборье без экип ДК" sheetId="28" r:id="rId5"/>
    <sheet name="WRPF Двоеборье без экип" sheetId="27" r:id="rId6"/>
    <sheet name="WRPF Жим лежа без экип ДК" sheetId="15" r:id="rId7"/>
    <sheet name="WRPF Жим лежа без экип" sheetId="14" r:id="rId8"/>
    <sheet name="WEPF Жим однослой ДК" sheetId="18" r:id="rId9"/>
    <sheet name="WEPF Жим однослой" sheetId="17" r:id="rId10"/>
    <sheet name="WEPF Жим многослой" sheetId="21" r:id="rId11"/>
    <sheet name="WEPF Жим софт &quot;Стандарт&quot; ДК" sheetId="16" r:id="rId12"/>
    <sheet name="WEPF Жим софт &quot;Стандарт&quot;" sheetId="13" r:id="rId13"/>
    <sheet name="WEPF Жим софт &quot;Ультра&quot;" sheetId="19" r:id="rId14"/>
    <sheet name="WRPF Жим СФО" sheetId="43" r:id="rId15"/>
    <sheet name="WRPF Народный 1 вес ДК" sheetId="41" r:id="rId16"/>
    <sheet name="WRPF Народный 1 вес" sheetId="39" r:id="rId17"/>
    <sheet name="WRPF Народный 1_2 веса ДК" sheetId="42" r:id="rId18"/>
    <sheet name="WRPF Народный 1_2 веса" sheetId="40" r:id="rId19"/>
    <sheet name="WRPF Тяга без экипировки ДК" sheetId="24" r:id="rId20"/>
    <sheet name="WRPF Тяга без экипировки" sheetId="23" r:id="rId21"/>
    <sheet name="WEPF Тяга экип" sheetId="25" r:id="rId22"/>
    <sheet name="WRPF Подъем на бицепс" sheetId="38" r:id="rId23"/>
    <sheet name="Rolling Thunder" sheetId="31" r:id="rId24"/>
    <sheet name="Apollon`s Axle" sheetId="32" r:id="rId25"/>
    <sheet name="Excalibur" sheetId="36" r:id="rId26"/>
    <sheet name="Grip block" sheetId="34" r:id="rId27"/>
    <sheet name="Hub" sheetId="33" r:id="rId28"/>
    <sheet name="Silver bullet" sheetId="35" r:id="rId29"/>
    <sheet name="Saxon bar deadlift" sheetId="37" r:id="rId30"/>
    <sheet name="Командное первенство" sheetId="45" r:id="rId31"/>
    <sheet name="Судеская коллегия" sheetId="46" r:id="rId32"/>
  </sheets>
  <definedNames>
    <definedName name="_xlnm._FilterDatabase" localSheetId="3" hidden="1">'WRPF ПЛ в бинтах'!$A$1:$T$3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15" l="1"/>
  <c r="L39" i="15"/>
  <c r="E39" i="15"/>
  <c r="E42" i="5"/>
  <c r="U42" i="5"/>
  <c r="E41" i="5"/>
  <c r="U41" i="5"/>
  <c r="E35" i="6"/>
  <c r="U35" i="6"/>
  <c r="E34" i="6"/>
  <c r="U34" i="6"/>
  <c r="M11" i="43"/>
  <c r="L11" i="43"/>
  <c r="E11" i="43"/>
  <c r="M10" i="43"/>
  <c r="L10" i="43"/>
  <c r="E10" i="43"/>
  <c r="M9" i="43"/>
  <c r="L9" i="43"/>
  <c r="E9" i="43"/>
  <c r="M6" i="43"/>
  <c r="L6" i="43"/>
  <c r="E6" i="43"/>
  <c r="K9" i="42"/>
  <c r="J9" i="42"/>
  <c r="E9" i="42"/>
  <c r="K6" i="42"/>
  <c r="J6" i="42"/>
  <c r="E6" i="42"/>
  <c r="K42" i="41"/>
  <c r="J42" i="41"/>
  <c r="E42" i="41"/>
  <c r="K39" i="41"/>
  <c r="J39" i="41"/>
  <c r="E39" i="41"/>
  <c r="K38" i="41"/>
  <c r="J38" i="41"/>
  <c r="E38" i="41"/>
  <c r="K37" i="41"/>
  <c r="J37" i="41"/>
  <c r="E37" i="41"/>
  <c r="K36" i="41"/>
  <c r="J36" i="41"/>
  <c r="E36" i="41"/>
  <c r="K33" i="41"/>
  <c r="J33" i="41"/>
  <c r="E33" i="41"/>
  <c r="K32" i="41"/>
  <c r="J32" i="41"/>
  <c r="E32" i="41"/>
  <c r="K29" i="41"/>
  <c r="J29" i="41"/>
  <c r="E29" i="41"/>
  <c r="K28" i="41"/>
  <c r="J28" i="41"/>
  <c r="E28" i="41"/>
  <c r="K27" i="41"/>
  <c r="J27" i="41"/>
  <c r="E27" i="41"/>
  <c r="K26" i="41"/>
  <c r="J26" i="41"/>
  <c r="E26" i="41"/>
  <c r="K23" i="41"/>
  <c r="J23" i="41"/>
  <c r="E23" i="41"/>
  <c r="K22" i="41"/>
  <c r="J22" i="41"/>
  <c r="E22" i="41"/>
  <c r="K21" i="41"/>
  <c r="J21" i="41"/>
  <c r="E21" i="41"/>
  <c r="K20" i="41"/>
  <c r="J20" i="41"/>
  <c r="E20" i="41"/>
  <c r="K19" i="41"/>
  <c r="J19" i="41"/>
  <c r="E19" i="41"/>
  <c r="K18" i="41"/>
  <c r="J18" i="41"/>
  <c r="E18" i="41"/>
  <c r="K15" i="41"/>
  <c r="J15" i="41"/>
  <c r="E15" i="41"/>
  <c r="K14" i="41"/>
  <c r="J14" i="41"/>
  <c r="E14" i="41"/>
  <c r="K13" i="41"/>
  <c r="J13" i="41"/>
  <c r="E13" i="41"/>
  <c r="K12" i="41"/>
  <c r="J12" i="41"/>
  <c r="E12" i="41"/>
  <c r="K9" i="41"/>
  <c r="J9" i="41"/>
  <c r="E9" i="41"/>
  <c r="K6" i="41"/>
  <c r="J6" i="41"/>
  <c r="E6" i="41"/>
  <c r="K9" i="40"/>
  <c r="J9" i="40"/>
  <c r="E9" i="40"/>
  <c r="K6" i="40"/>
  <c r="J6" i="40"/>
  <c r="E6" i="40"/>
  <c r="K42" i="39"/>
  <c r="J42" i="39"/>
  <c r="E42" i="39"/>
  <c r="K41" i="39"/>
  <c r="J41" i="39"/>
  <c r="E41" i="39"/>
  <c r="K40" i="39"/>
  <c r="J40" i="39"/>
  <c r="E40" i="39"/>
  <c r="K37" i="39"/>
  <c r="J37" i="39"/>
  <c r="E37" i="39"/>
  <c r="K36" i="39"/>
  <c r="J36" i="39"/>
  <c r="E36" i="39"/>
  <c r="K35" i="39"/>
  <c r="J35" i="39"/>
  <c r="E35" i="39"/>
  <c r="K32" i="39"/>
  <c r="J32" i="39"/>
  <c r="E32" i="39"/>
  <c r="K31" i="39"/>
  <c r="J31" i="39"/>
  <c r="E31" i="39"/>
  <c r="K30" i="39"/>
  <c r="J30" i="39"/>
  <c r="E30" i="39"/>
  <c r="K29" i="39"/>
  <c r="J29" i="39"/>
  <c r="E29" i="39"/>
  <c r="K28" i="39"/>
  <c r="J28" i="39"/>
  <c r="E28" i="39"/>
  <c r="K25" i="39"/>
  <c r="J25" i="39"/>
  <c r="E25" i="39"/>
  <c r="K24" i="39"/>
  <c r="J24" i="39"/>
  <c r="E24" i="39"/>
  <c r="K23" i="39"/>
  <c r="J23" i="39"/>
  <c r="E23" i="39"/>
  <c r="K20" i="39"/>
  <c r="J20" i="39"/>
  <c r="E20" i="39"/>
  <c r="K19" i="39"/>
  <c r="J19" i="39"/>
  <c r="E19" i="39"/>
  <c r="K18" i="39"/>
  <c r="J18" i="39"/>
  <c r="E18" i="39"/>
  <c r="K17" i="39"/>
  <c r="J17" i="39"/>
  <c r="E17" i="39"/>
  <c r="K16" i="39"/>
  <c r="J16" i="39"/>
  <c r="E16" i="39"/>
  <c r="K15" i="39"/>
  <c r="J15" i="39"/>
  <c r="E15" i="39"/>
  <c r="K12" i="39"/>
  <c r="J12" i="39"/>
  <c r="E12" i="39"/>
  <c r="K9" i="39"/>
  <c r="J9" i="39"/>
  <c r="E9" i="39"/>
  <c r="K6" i="39"/>
  <c r="J6" i="39"/>
  <c r="E6" i="39"/>
  <c r="M48" i="38"/>
  <c r="L48" i="38"/>
  <c r="E48" i="38"/>
  <c r="M45" i="38"/>
  <c r="L45" i="38"/>
  <c r="E45" i="38"/>
  <c r="M44" i="38"/>
  <c r="L44" i="38"/>
  <c r="E44" i="38"/>
  <c r="M41" i="38"/>
  <c r="L41" i="38"/>
  <c r="E41" i="38"/>
  <c r="M40" i="38"/>
  <c r="L40" i="38"/>
  <c r="E40" i="38"/>
  <c r="M39" i="38"/>
  <c r="L39" i="38"/>
  <c r="E39" i="38"/>
  <c r="M36" i="38"/>
  <c r="L36" i="38"/>
  <c r="E36" i="38"/>
  <c r="M35" i="38"/>
  <c r="L35" i="38"/>
  <c r="E35" i="38"/>
  <c r="M34" i="38"/>
  <c r="L34" i="38"/>
  <c r="E34" i="38"/>
  <c r="M33" i="38"/>
  <c r="L33" i="38"/>
  <c r="E33" i="38"/>
  <c r="M32" i="38"/>
  <c r="L32" i="38"/>
  <c r="E32" i="38"/>
  <c r="M29" i="38"/>
  <c r="L29" i="38"/>
  <c r="E29" i="38"/>
  <c r="M28" i="38"/>
  <c r="L28" i="38"/>
  <c r="E28" i="38"/>
  <c r="M27" i="38"/>
  <c r="L27" i="38"/>
  <c r="E27" i="38"/>
  <c r="M26" i="38"/>
  <c r="L26" i="38"/>
  <c r="E26" i="38"/>
  <c r="M25" i="38"/>
  <c r="L25" i="38"/>
  <c r="E25" i="38"/>
  <c r="M24" i="38"/>
  <c r="L24" i="38"/>
  <c r="E24" i="38"/>
  <c r="M21" i="38"/>
  <c r="L21" i="38"/>
  <c r="E21" i="38"/>
  <c r="M20" i="38"/>
  <c r="L20" i="38"/>
  <c r="E20" i="38"/>
  <c r="M19" i="38"/>
  <c r="L19" i="38"/>
  <c r="E19" i="38"/>
  <c r="M18" i="38"/>
  <c r="L18" i="38"/>
  <c r="E18" i="38"/>
  <c r="M15" i="38"/>
  <c r="L15" i="38"/>
  <c r="E15" i="38"/>
  <c r="M14" i="38"/>
  <c r="L14" i="38"/>
  <c r="E14" i="38"/>
  <c r="M13" i="38"/>
  <c r="L13" i="38"/>
  <c r="E13" i="38"/>
  <c r="M12" i="38"/>
  <c r="L12" i="38"/>
  <c r="E12" i="38"/>
  <c r="M11" i="38"/>
  <c r="L11" i="38"/>
  <c r="E11" i="38"/>
  <c r="M8" i="38"/>
  <c r="L8" i="38"/>
  <c r="E8" i="38"/>
  <c r="M7" i="38"/>
  <c r="L7" i="38"/>
  <c r="E7" i="38"/>
  <c r="M6" i="38"/>
  <c r="L6" i="38"/>
  <c r="E6" i="38"/>
  <c r="K11" i="37"/>
  <c r="K10" i="37"/>
  <c r="K9" i="37"/>
  <c r="K6" i="37"/>
  <c r="K16" i="36"/>
  <c r="K15" i="36"/>
  <c r="K12" i="36"/>
  <c r="K9" i="36"/>
  <c r="K6" i="36"/>
  <c r="K14" i="34"/>
  <c r="K13" i="34"/>
  <c r="K10" i="34"/>
  <c r="K7" i="34"/>
  <c r="K6" i="34"/>
  <c r="K18" i="33"/>
  <c r="K17" i="33"/>
  <c r="K16" i="33"/>
  <c r="K13" i="33"/>
  <c r="K10" i="33"/>
  <c r="K9" i="33"/>
  <c r="K6" i="33"/>
  <c r="K20" i="32"/>
  <c r="K19" i="32"/>
  <c r="K16" i="32"/>
  <c r="K15" i="32"/>
  <c r="K12" i="32"/>
  <c r="K9" i="32"/>
  <c r="K6" i="32"/>
  <c r="K14" i="31"/>
  <c r="K13" i="31"/>
  <c r="K12" i="31"/>
  <c r="K9" i="31"/>
  <c r="K6" i="31"/>
  <c r="Q44" i="28"/>
  <c r="P44" i="28"/>
  <c r="E44" i="28"/>
  <c r="Q43" i="28"/>
  <c r="P43" i="28"/>
  <c r="E43" i="28"/>
  <c r="Q42" i="28"/>
  <c r="P42" i="28"/>
  <c r="E42" i="28"/>
  <c r="Q39" i="28"/>
  <c r="P39" i="28"/>
  <c r="E39" i="28"/>
  <c r="Q38" i="28"/>
  <c r="P38" i="28"/>
  <c r="E38" i="28"/>
  <c r="Q37" i="28"/>
  <c r="P37" i="28"/>
  <c r="E37" i="28"/>
  <c r="Q36" i="28"/>
  <c r="P36" i="28"/>
  <c r="E36" i="28"/>
  <c r="Q33" i="28"/>
  <c r="E33" i="28"/>
  <c r="Q32" i="28"/>
  <c r="P32" i="28"/>
  <c r="E32" i="28"/>
  <c r="Q29" i="28"/>
  <c r="P29" i="28"/>
  <c r="E29" i="28"/>
  <c r="Q28" i="28"/>
  <c r="P28" i="28"/>
  <c r="E28" i="28"/>
  <c r="Q27" i="28"/>
  <c r="P27" i="28"/>
  <c r="E27" i="28"/>
  <c r="Q24" i="28"/>
  <c r="P24" i="28"/>
  <c r="E24" i="28"/>
  <c r="Q23" i="28"/>
  <c r="P23" i="28"/>
  <c r="E23" i="28"/>
  <c r="Q22" i="28"/>
  <c r="P22" i="28"/>
  <c r="E22" i="28"/>
  <c r="Q21" i="28"/>
  <c r="P21" i="28"/>
  <c r="E21" i="28"/>
  <c r="Q20" i="28"/>
  <c r="P20" i="28"/>
  <c r="E20" i="28"/>
  <c r="Q17" i="28"/>
  <c r="P17" i="28"/>
  <c r="E17" i="28"/>
  <c r="Q16" i="28"/>
  <c r="P16" i="28"/>
  <c r="E16" i="28"/>
  <c r="Q13" i="28"/>
  <c r="P13" i="28"/>
  <c r="E13" i="28"/>
  <c r="Q12" i="28"/>
  <c r="P12" i="28"/>
  <c r="E12" i="28"/>
  <c r="Q9" i="28"/>
  <c r="P9" i="28"/>
  <c r="E9" i="28"/>
  <c r="Q6" i="28"/>
  <c r="P6" i="28"/>
  <c r="E6" i="28"/>
  <c r="Q38" i="27"/>
  <c r="P38" i="27"/>
  <c r="E38" i="27"/>
  <c r="Q35" i="27"/>
  <c r="P35" i="27"/>
  <c r="E35" i="27"/>
  <c r="Q34" i="27"/>
  <c r="P34" i="27"/>
  <c r="E34" i="27"/>
  <c r="Q33" i="27"/>
  <c r="P33" i="27"/>
  <c r="E33" i="27"/>
  <c r="Q32" i="27"/>
  <c r="P32" i="27"/>
  <c r="E32" i="27"/>
  <c r="Q31" i="27"/>
  <c r="P31" i="27"/>
  <c r="E31" i="27"/>
  <c r="Q28" i="27"/>
  <c r="P28" i="27"/>
  <c r="E28" i="27"/>
  <c r="Q25" i="27"/>
  <c r="P25" i="27"/>
  <c r="E25" i="27"/>
  <c r="Q24" i="27"/>
  <c r="P24" i="27"/>
  <c r="E24" i="27"/>
  <c r="Q23" i="27"/>
  <c r="P23" i="27"/>
  <c r="E23" i="27"/>
  <c r="Q20" i="27"/>
  <c r="E20" i="27"/>
  <c r="Q19" i="27"/>
  <c r="E19" i="27"/>
  <c r="Q18" i="27"/>
  <c r="P18" i="27"/>
  <c r="E18" i="27"/>
  <c r="Q15" i="27"/>
  <c r="P15" i="27"/>
  <c r="E15" i="27"/>
  <c r="Q12" i="27"/>
  <c r="P12" i="27"/>
  <c r="E12" i="27"/>
  <c r="Q9" i="27"/>
  <c r="P9" i="27"/>
  <c r="E9" i="27"/>
  <c r="Q6" i="27"/>
  <c r="P6" i="27"/>
  <c r="E6" i="27"/>
  <c r="M12" i="25"/>
  <c r="L12" i="25"/>
  <c r="E12" i="25"/>
  <c r="M9" i="25"/>
  <c r="L9" i="25"/>
  <c r="E9" i="25"/>
  <c r="M6" i="25"/>
  <c r="L6" i="25"/>
  <c r="E6" i="25"/>
  <c r="M77" i="24"/>
  <c r="L77" i="24"/>
  <c r="E77" i="24"/>
  <c r="M74" i="24"/>
  <c r="L74" i="24"/>
  <c r="E74" i="24"/>
  <c r="M71" i="24"/>
  <c r="L71" i="24"/>
  <c r="E71" i="24"/>
  <c r="M68" i="24"/>
  <c r="L68" i="24"/>
  <c r="E68" i="24"/>
  <c r="M67" i="24"/>
  <c r="E67" i="24"/>
  <c r="M66" i="24"/>
  <c r="L66" i="24"/>
  <c r="E66" i="24"/>
  <c r="M65" i="24"/>
  <c r="L65" i="24"/>
  <c r="E65" i="24"/>
  <c r="M64" i="24"/>
  <c r="L64" i="24"/>
  <c r="E64" i="24"/>
  <c r="M61" i="24"/>
  <c r="L61" i="24"/>
  <c r="E61" i="24"/>
  <c r="M58" i="24"/>
  <c r="L58" i="24"/>
  <c r="E58" i="24"/>
  <c r="M57" i="24"/>
  <c r="L57" i="24"/>
  <c r="E57" i="24"/>
  <c r="M56" i="24"/>
  <c r="L56" i="24"/>
  <c r="E56" i="24"/>
  <c r="M55" i="24"/>
  <c r="L55" i="24"/>
  <c r="E55" i="24"/>
  <c r="M54" i="24"/>
  <c r="L54" i="24"/>
  <c r="E54" i="24"/>
  <c r="M53" i="24"/>
  <c r="L53" i="24"/>
  <c r="E53" i="24"/>
  <c r="M52" i="24"/>
  <c r="L52" i="24"/>
  <c r="E52" i="24"/>
  <c r="M51" i="24"/>
  <c r="L51" i="24"/>
  <c r="E51" i="24"/>
  <c r="M48" i="24"/>
  <c r="L48" i="24"/>
  <c r="E48" i="24"/>
  <c r="M47" i="24"/>
  <c r="L47" i="24"/>
  <c r="E47" i="24"/>
  <c r="M46" i="24"/>
  <c r="L46" i="24"/>
  <c r="E46" i="24"/>
  <c r="M45" i="24"/>
  <c r="L45" i="24"/>
  <c r="E45" i="24"/>
  <c r="M44" i="24"/>
  <c r="L44" i="24"/>
  <c r="E44" i="24"/>
  <c r="M43" i="24"/>
  <c r="L43" i="24"/>
  <c r="E43" i="24"/>
  <c r="M40" i="24"/>
  <c r="L40" i="24"/>
  <c r="E40" i="24"/>
  <c r="M39" i="24"/>
  <c r="L39" i="24"/>
  <c r="E39" i="24"/>
  <c r="M38" i="24"/>
  <c r="L38" i="24"/>
  <c r="E38" i="24"/>
  <c r="M37" i="24"/>
  <c r="L37" i="24"/>
  <c r="E37" i="24"/>
  <c r="M36" i="24"/>
  <c r="L36" i="24"/>
  <c r="E36" i="24"/>
  <c r="M33" i="24"/>
  <c r="L33" i="24"/>
  <c r="E33" i="24"/>
  <c r="M32" i="24"/>
  <c r="L32" i="24"/>
  <c r="E32" i="24"/>
  <c r="M31" i="24"/>
  <c r="L31" i="24"/>
  <c r="E31" i="24"/>
  <c r="M30" i="24"/>
  <c r="L30" i="24"/>
  <c r="E30" i="24"/>
  <c r="M27" i="24"/>
  <c r="L27" i="24"/>
  <c r="E27" i="24"/>
  <c r="M24" i="24"/>
  <c r="L24" i="24"/>
  <c r="E24" i="24"/>
  <c r="M21" i="24"/>
  <c r="L21" i="24"/>
  <c r="E21" i="24"/>
  <c r="M18" i="24"/>
  <c r="L18" i="24"/>
  <c r="E18" i="24"/>
  <c r="M17" i="24"/>
  <c r="E17" i="24"/>
  <c r="M16" i="24"/>
  <c r="L16" i="24"/>
  <c r="E16" i="24"/>
  <c r="M13" i="24"/>
  <c r="L13" i="24"/>
  <c r="E13" i="24"/>
  <c r="M12" i="24"/>
  <c r="E12" i="24"/>
  <c r="M11" i="24"/>
  <c r="L11" i="24"/>
  <c r="E11" i="24"/>
  <c r="M8" i="24"/>
  <c r="L8" i="24"/>
  <c r="E8" i="24"/>
  <c r="M7" i="24"/>
  <c r="L7" i="24"/>
  <c r="E7" i="24"/>
  <c r="M6" i="24"/>
  <c r="L6" i="24"/>
  <c r="E6" i="24"/>
  <c r="M64" i="23"/>
  <c r="L64" i="23"/>
  <c r="E64" i="23"/>
  <c r="M63" i="23"/>
  <c r="L63" i="23"/>
  <c r="E63" i="23"/>
  <c r="M60" i="23"/>
  <c r="L60" i="23"/>
  <c r="E60" i="23"/>
  <c r="M57" i="23"/>
  <c r="L57" i="23"/>
  <c r="E57" i="23"/>
  <c r="M56" i="23"/>
  <c r="L56" i="23"/>
  <c r="E56" i="23"/>
  <c r="M55" i="23"/>
  <c r="L55" i="23"/>
  <c r="E55" i="23"/>
  <c r="M52" i="23"/>
  <c r="L52" i="23"/>
  <c r="E52" i="23"/>
  <c r="M51" i="23"/>
  <c r="L51" i="23"/>
  <c r="E51" i="23"/>
  <c r="M50" i="23"/>
  <c r="L50" i="23"/>
  <c r="E50" i="23"/>
  <c r="M49" i="23"/>
  <c r="L49" i="23"/>
  <c r="E49" i="23"/>
  <c r="M46" i="23"/>
  <c r="L46" i="23"/>
  <c r="E46" i="23"/>
  <c r="M45" i="23"/>
  <c r="L45" i="23"/>
  <c r="E45" i="23"/>
  <c r="M44" i="23"/>
  <c r="L44" i="23"/>
  <c r="E44" i="23"/>
  <c r="M43" i="23"/>
  <c r="L43" i="23"/>
  <c r="E43" i="23"/>
  <c r="M42" i="23"/>
  <c r="L42" i="23"/>
  <c r="E42" i="23"/>
  <c r="M41" i="23"/>
  <c r="L41" i="23"/>
  <c r="E41" i="23"/>
  <c r="M40" i="23"/>
  <c r="L40" i="23"/>
  <c r="E40" i="23"/>
  <c r="M37" i="23"/>
  <c r="L37" i="23"/>
  <c r="E37" i="23"/>
  <c r="M36" i="23"/>
  <c r="L36" i="23"/>
  <c r="E36" i="23"/>
  <c r="M35" i="23"/>
  <c r="L35" i="23"/>
  <c r="E35" i="23"/>
  <c r="M34" i="23"/>
  <c r="L34" i="23"/>
  <c r="E34" i="23"/>
  <c r="M33" i="23"/>
  <c r="L33" i="23"/>
  <c r="E33" i="23"/>
  <c r="M30" i="23"/>
  <c r="L30" i="23"/>
  <c r="E30" i="23"/>
  <c r="M29" i="23"/>
  <c r="L29" i="23"/>
  <c r="E29" i="23"/>
  <c r="M28" i="23"/>
  <c r="L28" i="23"/>
  <c r="E28" i="23"/>
  <c r="M27" i="23"/>
  <c r="L27" i="23"/>
  <c r="E27" i="23"/>
  <c r="M26" i="23"/>
  <c r="L26" i="23"/>
  <c r="E26" i="23"/>
  <c r="M25" i="23"/>
  <c r="L25" i="23"/>
  <c r="E25" i="23"/>
  <c r="M24" i="23"/>
  <c r="L24" i="23"/>
  <c r="E24" i="23"/>
  <c r="M21" i="23"/>
  <c r="L21" i="23"/>
  <c r="E21" i="23"/>
  <c r="M20" i="23"/>
  <c r="L20" i="23"/>
  <c r="E20" i="23"/>
  <c r="M19" i="23"/>
  <c r="L19" i="23"/>
  <c r="E19" i="23"/>
  <c r="M16" i="23"/>
  <c r="L16" i="23"/>
  <c r="E16" i="23"/>
  <c r="M13" i="23"/>
  <c r="L13" i="23"/>
  <c r="E13" i="23"/>
  <c r="M10" i="23"/>
  <c r="L10" i="23"/>
  <c r="E10" i="23"/>
  <c r="M9" i="23"/>
  <c r="L9" i="23"/>
  <c r="E9" i="23"/>
  <c r="M6" i="23"/>
  <c r="L6" i="23"/>
  <c r="E6" i="23"/>
  <c r="M9" i="21"/>
  <c r="E9" i="21"/>
  <c r="M6" i="21"/>
  <c r="L6" i="21"/>
  <c r="E6" i="21"/>
  <c r="M10" i="19"/>
  <c r="L10" i="19"/>
  <c r="E10" i="19"/>
  <c r="M9" i="19"/>
  <c r="L9" i="19"/>
  <c r="E9" i="19"/>
  <c r="M6" i="19"/>
  <c r="L6" i="19"/>
  <c r="E6" i="19"/>
  <c r="M9" i="18"/>
  <c r="L9" i="18"/>
  <c r="E9" i="18"/>
  <c r="M6" i="18"/>
  <c r="L6" i="18"/>
  <c r="E6" i="18"/>
  <c r="M17" i="17"/>
  <c r="L17" i="17"/>
  <c r="E17" i="17"/>
  <c r="M14" i="17"/>
  <c r="L14" i="17"/>
  <c r="E14" i="17"/>
  <c r="M13" i="17"/>
  <c r="L13" i="17"/>
  <c r="E13" i="17"/>
  <c r="M12" i="17"/>
  <c r="L12" i="17"/>
  <c r="E12" i="17"/>
  <c r="M11" i="17"/>
  <c r="L11" i="17"/>
  <c r="E11" i="17"/>
  <c r="M10" i="17"/>
  <c r="L10" i="17"/>
  <c r="E10" i="17"/>
  <c r="M9" i="17"/>
  <c r="L9" i="17"/>
  <c r="E9" i="17"/>
  <c r="M6" i="17"/>
  <c r="L6" i="17"/>
  <c r="E6" i="17"/>
  <c r="M49" i="16"/>
  <c r="L49" i="16"/>
  <c r="E49" i="16"/>
  <c r="M48" i="16"/>
  <c r="L48" i="16"/>
  <c r="E48" i="16"/>
  <c r="M45" i="16"/>
  <c r="L45" i="16"/>
  <c r="E45" i="16"/>
  <c r="M44" i="16"/>
  <c r="L44" i="16"/>
  <c r="E44" i="16"/>
  <c r="M43" i="16"/>
  <c r="L43" i="16"/>
  <c r="E43" i="16"/>
  <c r="M40" i="16"/>
  <c r="E40" i="16"/>
  <c r="M39" i="16"/>
  <c r="E39" i="16"/>
  <c r="M38" i="16"/>
  <c r="E38" i="16"/>
  <c r="M37" i="16"/>
  <c r="L37" i="16"/>
  <c r="E37" i="16"/>
  <c r="M34" i="16"/>
  <c r="L34" i="16"/>
  <c r="E34" i="16"/>
  <c r="M33" i="16"/>
  <c r="L33" i="16"/>
  <c r="E33" i="16"/>
  <c r="M32" i="16"/>
  <c r="L32" i="16"/>
  <c r="E32" i="16"/>
  <c r="M31" i="16"/>
  <c r="L31" i="16"/>
  <c r="E31" i="16"/>
  <c r="M28" i="16"/>
  <c r="L28" i="16"/>
  <c r="E28" i="16"/>
  <c r="M27" i="16"/>
  <c r="L27" i="16"/>
  <c r="E27" i="16"/>
  <c r="M26" i="16"/>
  <c r="L26" i="16"/>
  <c r="E26" i="16"/>
  <c r="M25" i="16"/>
  <c r="L25" i="16"/>
  <c r="E25" i="16"/>
  <c r="M22" i="16"/>
  <c r="L22" i="16"/>
  <c r="E22" i="16"/>
  <c r="M21" i="16"/>
  <c r="L21" i="16"/>
  <c r="E21" i="16"/>
  <c r="M20" i="16"/>
  <c r="L20" i="16"/>
  <c r="E20" i="16"/>
  <c r="M17" i="16"/>
  <c r="L17" i="16"/>
  <c r="E17" i="16"/>
  <c r="M16" i="16"/>
  <c r="L16" i="16"/>
  <c r="E16" i="16"/>
  <c r="M15" i="16"/>
  <c r="L15" i="16"/>
  <c r="E15" i="16"/>
  <c r="M12" i="16"/>
  <c r="L12" i="16"/>
  <c r="E12" i="16"/>
  <c r="M9" i="16"/>
  <c r="L9" i="16"/>
  <c r="E9" i="16"/>
  <c r="M6" i="16"/>
  <c r="L6" i="16"/>
  <c r="E6" i="16"/>
  <c r="M159" i="15"/>
  <c r="L159" i="15"/>
  <c r="E159" i="15"/>
  <c r="M158" i="15"/>
  <c r="L158" i="15"/>
  <c r="E158" i="15"/>
  <c r="M157" i="15"/>
  <c r="L157" i="15"/>
  <c r="E157" i="15"/>
  <c r="M156" i="15"/>
  <c r="L156" i="15"/>
  <c r="E156" i="15"/>
  <c r="M153" i="15"/>
  <c r="L153" i="15"/>
  <c r="E153" i="15"/>
  <c r="M152" i="15"/>
  <c r="L152" i="15"/>
  <c r="E152" i="15"/>
  <c r="M151" i="15"/>
  <c r="E151" i="15"/>
  <c r="M150" i="15"/>
  <c r="E150" i="15"/>
  <c r="M149" i="15"/>
  <c r="L149" i="15"/>
  <c r="E149" i="15"/>
  <c r="M148" i="15"/>
  <c r="L148" i="15"/>
  <c r="E148" i="15"/>
  <c r="M145" i="15"/>
  <c r="L145" i="15"/>
  <c r="E145" i="15"/>
  <c r="M144" i="15"/>
  <c r="L144" i="15"/>
  <c r="E144" i="15"/>
  <c r="M143" i="15"/>
  <c r="L143" i="15"/>
  <c r="E143" i="15"/>
  <c r="M142" i="15"/>
  <c r="L142" i="15"/>
  <c r="E142" i="15"/>
  <c r="M141" i="15"/>
  <c r="L141" i="15"/>
  <c r="E141" i="15"/>
  <c r="M140" i="15"/>
  <c r="L140" i="15"/>
  <c r="E140" i="15"/>
  <c r="M139" i="15"/>
  <c r="L139" i="15"/>
  <c r="E139" i="15"/>
  <c r="M136" i="15"/>
  <c r="L136" i="15"/>
  <c r="E136" i="15"/>
  <c r="M135" i="15"/>
  <c r="L135" i="15"/>
  <c r="E135" i="15"/>
  <c r="M134" i="15"/>
  <c r="E134" i="15"/>
  <c r="M133" i="15"/>
  <c r="E133" i="15"/>
  <c r="M132" i="15"/>
  <c r="E132" i="15"/>
  <c r="M131" i="15"/>
  <c r="L131" i="15"/>
  <c r="E131" i="15"/>
  <c r="M130" i="15"/>
  <c r="L130" i="15"/>
  <c r="E130" i="15"/>
  <c r="M129" i="15"/>
  <c r="L129" i="15"/>
  <c r="E129" i="15"/>
  <c r="M128" i="15"/>
  <c r="L128" i="15"/>
  <c r="E128" i="15"/>
  <c r="M127" i="15"/>
  <c r="L127" i="15"/>
  <c r="E127" i="15"/>
  <c r="M126" i="15"/>
  <c r="L126" i="15"/>
  <c r="E126" i="15"/>
  <c r="M125" i="15"/>
  <c r="L125" i="15"/>
  <c r="E125" i="15"/>
  <c r="M124" i="15"/>
  <c r="L124" i="15"/>
  <c r="E124" i="15"/>
  <c r="M123" i="15"/>
  <c r="L123" i="15"/>
  <c r="E123" i="15"/>
  <c r="M120" i="15"/>
  <c r="L120" i="15"/>
  <c r="E120" i="15"/>
  <c r="M119" i="15"/>
  <c r="L119" i="15"/>
  <c r="E119" i="15"/>
  <c r="M118" i="15"/>
  <c r="E118" i="15"/>
  <c r="M117" i="15"/>
  <c r="E117" i="15"/>
  <c r="M116" i="15"/>
  <c r="E116" i="15"/>
  <c r="M115" i="15"/>
  <c r="L115" i="15"/>
  <c r="E115" i="15"/>
  <c r="M114" i="15"/>
  <c r="L114" i="15"/>
  <c r="E114" i="15"/>
  <c r="M113" i="15"/>
  <c r="L113" i="15"/>
  <c r="E113" i="15"/>
  <c r="M112" i="15"/>
  <c r="L112" i="15"/>
  <c r="E112" i="15"/>
  <c r="M111" i="15"/>
  <c r="L111" i="15"/>
  <c r="E111" i="15"/>
  <c r="M110" i="15"/>
  <c r="L110" i="15"/>
  <c r="E110" i="15"/>
  <c r="M109" i="15"/>
  <c r="L109" i="15"/>
  <c r="E109" i="15"/>
  <c r="M108" i="15"/>
  <c r="L108" i="15"/>
  <c r="E108" i="15"/>
  <c r="M107" i="15"/>
  <c r="L107" i="15"/>
  <c r="E107" i="15"/>
  <c r="M106" i="15"/>
  <c r="L106" i="15"/>
  <c r="E106" i="15"/>
  <c r="M105" i="15"/>
  <c r="L105" i="15"/>
  <c r="E105" i="15"/>
  <c r="M104" i="15"/>
  <c r="L104" i="15"/>
  <c r="E104" i="15"/>
  <c r="M103" i="15"/>
  <c r="L103" i="15"/>
  <c r="E103" i="15"/>
  <c r="M102" i="15"/>
  <c r="L102" i="15"/>
  <c r="E102" i="15"/>
  <c r="M101" i="15"/>
  <c r="L101" i="15"/>
  <c r="E101" i="15"/>
  <c r="M100" i="15"/>
  <c r="L100" i="15"/>
  <c r="E100" i="15"/>
  <c r="M97" i="15"/>
  <c r="L97" i="15"/>
  <c r="E97" i="15"/>
  <c r="M96" i="15"/>
  <c r="E96" i="15"/>
  <c r="M95" i="15"/>
  <c r="E95" i="15"/>
  <c r="M94" i="15"/>
  <c r="L94" i="15"/>
  <c r="E94" i="15"/>
  <c r="M93" i="15"/>
  <c r="L93" i="15"/>
  <c r="E93" i="15"/>
  <c r="M92" i="15"/>
  <c r="L92" i="15"/>
  <c r="E92" i="15"/>
  <c r="M91" i="15"/>
  <c r="L91" i="15"/>
  <c r="E91" i="15"/>
  <c r="M90" i="15"/>
  <c r="L90" i="15"/>
  <c r="E90" i="15"/>
  <c r="M89" i="15"/>
  <c r="L89" i="15"/>
  <c r="E89" i="15"/>
  <c r="M88" i="15"/>
  <c r="L88" i="15"/>
  <c r="E88" i="15"/>
  <c r="M87" i="15"/>
  <c r="L87" i="15"/>
  <c r="E87" i="15"/>
  <c r="M86" i="15"/>
  <c r="L86" i="15"/>
  <c r="E86" i="15"/>
  <c r="M85" i="15"/>
  <c r="L85" i="15"/>
  <c r="E85" i="15"/>
  <c r="M84" i="15"/>
  <c r="L84" i="15"/>
  <c r="E84" i="15"/>
  <c r="M83" i="15"/>
  <c r="L83" i="15"/>
  <c r="E83" i="15"/>
  <c r="M82" i="15"/>
  <c r="L82" i="15"/>
  <c r="E82" i="15"/>
  <c r="M81" i="15"/>
  <c r="L81" i="15"/>
  <c r="E81" i="15"/>
  <c r="M80" i="15"/>
  <c r="L80" i="15"/>
  <c r="E80" i="15"/>
  <c r="M79" i="15"/>
  <c r="L79" i="15"/>
  <c r="E79" i="15"/>
  <c r="M78" i="15"/>
  <c r="L78" i="15"/>
  <c r="E78" i="15"/>
  <c r="M77" i="15"/>
  <c r="L77" i="15"/>
  <c r="E77" i="15"/>
  <c r="M74" i="15"/>
  <c r="L74" i="15"/>
  <c r="E74" i="15"/>
  <c r="M73" i="15"/>
  <c r="L73" i="15"/>
  <c r="E73" i="15"/>
  <c r="M72" i="15"/>
  <c r="L72" i="15"/>
  <c r="E72" i="15"/>
  <c r="M71" i="15"/>
  <c r="L71" i="15"/>
  <c r="E71" i="15"/>
  <c r="M70" i="15"/>
  <c r="L70" i="15"/>
  <c r="E70" i="15"/>
  <c r="M69" i="15"/>
  <c r="L69" i="15"/>
  <c r="E69" i="15"/>
  <c r="M68" i="15"/>
  <c r="L68" i="15"/>
  <c r="E68" i="15"/>
  <c r="M67" i="15"/>
  <c r="L67" i="15"/>
  <c r="E67" i="15"/>
  <c r="M66" i="15"/>
  <c r="L66" i="15"/>
  <c r="E66" i="15"/>
  <c r="M65" i="15"/>
  <c r="L65" i="15"/>
  <c r="E65" i="15"/>
  <c r="M64" i="15"/>
  <c r="L64" i="15"/>
  <c r="E64" i="15"/>
  <c r="M63" i="15"/>
  <c r="L63" i="15"/>
  <c r="E63" i="15"/>
  <c r="M62" i="15"/>
  <c r="E62" i="15"/>
  <c r="M61" i="15"/>
  <c r="L61" i="15"/>
  <c r="E61" i="15"/>
  <c r="M60" i="15"/>
  <c r="L60" i="15"/>
  <c r="E60" i="15"/>
  <c r="M59" i="15"/>
  <c r="L59" i="15"/>
  <c r="E59" i="15"/>
  <c r="M56" i="15"/>
  <c r="L56" i="15"/>
  <c r="E56" i="15"/>
  <c r="M55" i="15"/>
  <c r="L55" i="15"/>
  <c r="E55" i="15"/>
  <c r="M54" i="15"/>
  <c r="L54" i="15"/>
  <c r="E54" i="15"/>
  <c r="M53" i="15"/>
  <c r="L53" i="15"/>
  <c r="E53" i="15"/>
  <c r="M52" i="15"/>
  <c r="L52" i="15"/>
  <c r="E52" i="15"/>
  <c r="M51" i="15"/>
  <c r="L51" i="15"/>
  <c r="E51" i="15"/>
  <c r="M50" i="15"/>
  <c r="L50" i="15"/>
  <c r="E50" i="15"/>
  <c r="M49" i="15"/>
  <c r="L49" i="15"/>
  <c r="E49" i="15"/>
  <c r="M48" i="15"/>
  <c r="L48" i="15"/>
  <c r="E48" i="15"/>
  <c r="M45" i="15"/>
  <c r="L45" i="15"/>
  <c r="E45" i="15"/>
  <c r="M42" i="15"/>
  <c r="L42" i="15"/>
  <c r="E42" i="15"/>
  <c r="M36" i="15"/>
  <c r="L36" i="15"/>
  <c r="E36" i="15"/>
  <c r="M33" i="15"/>
  <c r="L33" i="15"/>
  <c r="E33" i="15"/>
  <c r="M32" i="15"/>
  <c r="L32" i="15"/>
  <c r="E32" i="15"/>
  <c r="M31" i="15"/>
  <c r="L31" i="15"/>
  <c r="E31" i="15"/>
  <c r="M28" i="15"/>
  <c r="L28" i="15"/>
  <c r="E28" i="15"/>
  <c r="M25" i="15"/>
  <c r="L25" i="15"/>
  <c r="E25" i="15"/>
  <c r="M22" i="15"/>
  <c r="L22" i="15"/>
  <c r="E22" i="15"/>
  <c r="M21" i="15"/>
  <c r="L21" i="15"/>
  <c r="E21" i="15"/>
  <c r="M20" i="15"/>
  <c r="L20" i="15"/>
  <c r="E20" i="15"/>
  <c r="M19" i="15"/>
  <c r="E19" i="15"/>
  <c r="M16" i="15"/>
  <c r="L16" i="15"/>
  <c r="E16" i="15"/>
  <c r="M15" i="15"/>
  <c r="L15" i="15"/>
  <c r="E15" i="15"/>
  <c r="M14" i="15"/>
  <c r="L14" i="15"/>
  <c r="E14" i="15"/>
  <c r="M13" i="15"/>
  <c r="L13" i="15"/>
  <c r="E13" i="15"/>
  <c r="M10" i="15"/>
  <c r="L10" i="15"/>
  <c r="E10" i="15"/>
  <c r="M7" i="15"/>
  <c r="L7" i="15"/>
  <c r="E7" i="15"/>
  <c r="M6" i="15"/>
  <c r="L6" i="15"/>
  <c r="E6" i="15"/>
  <c r="M95" i="14"/>
  <c r="L95" i="14"/>
  <c r="E95" i="14"/>
  <c r="M92" i="14"/>
  <c r="L92" i="14"/>
  <c r="E92" i="14"/>
  <c r="M91" i="14"/>
  <c r="L91" i="14"/>
  <c r="E91" i="14"/>
  <c r="M90" i="14"/>
  <c r="L90" i="14"/>
  <c r="E90" i="14"/>
  <c r="M89" i="14"/>
  <c r="L89" i="14"/>
  <c r="E89" i="14"/>
  <c r="M88" i="14"/>
  <c r="L88" i="14"/>
  <c r="E88" i="14"/>
  <c r="M87" i="14"/>
  <c r="L87" i="14"/>
  <c r="E87" i="14"/>
  <c r="M86" i="14"/>
  <c r="L86" i="14"/>
  <c r="E86" i="14"/>
  <c r="M85" i="14"/>
  <c r="L85" i="14"/>
  <c r="E85" i="14"/>
  <c r="M84" i="14"/>
  <c r="L84" i="14"/>
  <c r="E84" i="14"/>
  <c r="M81" i="14"/>
  <c r="L81" i="14"/>
  <c r="E81" i="14"/>
  <c r="M80" i="14"/>
  <c r="L80" i="14"/>
  <c r="E80" i="14"/>
  <c r="M79" i="14"/>
  <c r="L79" i="14"/>
  <c r="E79" i="14"/>
  <c r="M78" i="14"/>
  <c r="L78" i="14"/>
  <c r="E78" i="14"/>
  <c r="M77" i="14"/>
  <c r="L77" i="14"/>
  <c r="E77" i="14"/>
  <c r="M76" i="14"/>
  <c r="L76" i="14"/>
  <c r="E76" i="14"/>
  <c r="M75" i="14"/>
  <c r="L75" i="14"/>
  <c r="E75" i="14"/>
  <c r="M74" i="14"/>
  <c r="L74" i="14"/>
  <c r="E74" i="14"/>
  <c r="M73" i="14"/>
  <c r="L73" i="14"/>
  <c r="E73" i="14"/>
  <c r="M72" i="14"/>
  <c r="L72" i="14"/>
  <c r="E72" i="14"/>
  <c r="M71" i="14"/>
  <c r="L71" i="14"/>
  <c r="E71" i="14"/>
  <c r="M70" i="14"/>
  <c r="L70" i="14"/>
  <c r="E70" i="14"/>
  <c r="M69" i="14"/>
  <c r="L69" i="14"/>
  <c r="E69" i="14"/>
  <c r="M68" i="14"/>
  <c r="L68" i="14"/>
  <c r="E68" i="14"/>
  <c r="M67" i="14"/>
  <c r="L67" i="14"/>
  <c r="E67" i="14"/>
  <c r="M66" i="14"/>
  <c r="L66" i="14"/>
  <c r="E66" i="14"/>
  <c r="M63" i="14"/>
  <c r="L63" i="14"/>
  <c r="E63" i="14"/>
  <c r="M62" i="14"/>
  <c r="L62" i="14"/>
  <c r="E62" i="14"/>
  <c r="M61" i="14"/>
  <c r="L61" i="14"/>
  <c r="E61" i="14"/>
  <c r="M60" i="14"/>
  <c r="L60" i="14"/>
  <c r="E60" i="14"/>
  <c r="M59" i="14"/>
  <c r="L59" i="14"/>
  <c r="E59" i="14"/>
  <c r="M58" i="14"/>
  <c r="L58" i="14"/>
  <c r="E58" i="14"/>
  <c r="M57" i="14"/>
  <c r="L57" i="14"/>
  <c r="E57" i="14"/>
  <c r="M56" i="14"/>
  <c r="L56" i="14"/>
  <c r="E56" i="14"/>
  <c r="M55" i="14"/>
  <c r="L55" i="14"/>
  <c r="E55" i="14"/>
  <c r="M54" i="14"/>
  <c r="L54" i="14"/>
  <c r="E54" i="14"/>
  <c r="M53" i="14"/>
  <c r="L53" i="14"/>
  <c r="E53" i="14"/>
  <c r="M52" i="14"/>
  <c r="L52" i="14"/>
  <c r="E52" i="14"/>
  <c r="M49" i="14"/>
  <c r="L49" i="14"/>
  <c r="E49" i="14"/>
  <c r="M48" i="14"/>
  <c r="L48" i="14"/>
  <c r="E48" i="14"/>
  <c r="M47" i="14"/>
  <c r="L47" i="14"/>
  <c r="E47" i="14"/>
  <c r="M46" i="14"/>
  <c r="L46" i="14"/>
  <c r="E46" i="14"/>
  <c r="M45" i="14"/>
  <c r="L45" i="14"/>
  <c r="E45" i="14"/>
  <c r="M44" i="14"/>
  <c r="L44" i="14"/>
  <c r="E44" i="14"/>
  <c r="M43" i="14"/>
  <c r="L43" i="14"/>
  <c r="E43" i="14"/>
  <c r="M42" i="14"/>
  <c r="L42" i="14"/>
  <c r="E42" i="14"/>
  <c r="M41" i="14"/>
  <c r="L41" i="14"/>
  <c r="E41" i="14"/>
  <c r="M40" i="14"/>
  <c r="L40" i="14"/>
  <c r="E40" i="14"/>
  <c r="M39" i="14"/>
  <c r="L39" i="14"/>
  <c r="E39" i="14"/>
  <c r="M36" i="14"/>
  <c r="L36" i="14"/>
  <c r="E36" i="14"/>
  <c r="M35" i="14"/>
  <c r="L35" i="14"/>
  <c r="E35" i="14"/>
  <c r="M34" i="14"/>
  <c r="L34" i="14"/>
  <c r="E34" i="14"/>
  <c r="M33" i="14"/>
  <c r="L33" i="14"/>
  <c r="E33" i="14"/>
  <c r="M32" i="14"/>
  <c r="L32" i="14"/>
  <c r="E32" i="14"/>
  <c r="M31" i="14"/>
  <c r="L31" i="14"/>
  <c r="E31" i="14"/>
  <c r="M30" i="14"/>
  <c r="L30" i="14"/>
  <c r="E30" i="14"/>
  <c r="M29" i="14"/>
  <c r="L29" i="14"/>
  <c r="E29" i="14"/>
  <c r="M28" i="14"/>
  <c r="L28" i="14"/>
  <c r="E28" i="14"/>
  <c r="M27" i="14"/>
  <c r="L27" i="14"/>
  <c r="E27" i="14"/>
  <c r="M26" i="14"/>
  <c r="L26" i="14"/>
  <c r="E26" i="14"/>
  <c r="M23" i="14"/>
  <c r="L23" i="14"/>
  <c r="E23" i="14"/>
  <c r="M22" i="14"/>
  <c r="L22" i="14"/>
  <c r="E22" i="14"/>
  <c r="M19" i="14"/>
  <c r="L19" i="14"/>
  <c r="E19" i="14"/>
  <c r="M18" i="14"/>
  <c r="L18" i="14"/>
  <c r="E18" i="14"/>
  <c r="M17" i="14"/>
  <c r="L17" i="14"/>
  <c r="E17" i="14"/>
  <c r="M14" i="14"/>
  <c r="L14" i="14"/>
  <c r="E14" i="14"/>
  <c r="M13" i="14"/>
  <c r="L13" i="14"/>
  <c r="E13" i="14"/>
  <c r="M10" i="14"/>
  <c r="L10" i="14"/>
  <c r="E10" i="14"/>
  <c r="M9" i="14"/>
  <c r="L9" i="14"/>
  <c r="E9" i="14"/>
  <c r="M6" i="14"/>
  <c r="L6" i="14"/>
  <c r="E6" i="14"/>
  <c r="M47" i="13"/>
  <c r="L47" i="13"/>
  <c r="E47" i="13"/>
  <c r="M46" i="13"/>
  <c r="L46" i="13"/>
  <c r="E46" i="13"/>
  <c r="M43" i="13"/>
  <c r="L43" i="13"/>
  <c r="E43" i="13"/>
  <c r="M42" i="13"/>
  <c r="L42" i="13"/>
  <c r="E42" i="13"/>
  <c r="M41" i="13"/>
  <c r="L41" i="13"/>
  <c r="E41" i="13"/>
  <c r="M40" i="13"/>
  <c r="L40" i="13"/>
  <c r="E40" i="13"/>
  <c r="M37" i="13"/>
  <c r="L37" i="13"/>
  <c r="E37" i="13"/>
  <c r="M36" i="13"/>
  <c r="L36" i="13"/>
  <c r="E36" i="13"/>
  <c r="M35" i="13"/>
  <c r="E35" i="13"/>
  <c r="M34" i="13"/>
  <c r="L34" i="13"/>
  <c r="E34" i="13"/>
  <c r="M33" i="13"/>
  <c r="E33" i="13"/>
  <c r="M32" i="13"/>
  <c r="L32" i="13"/>
  <c r="E32" i="13"/>
  <c r="M31" i="13"/>
  <c r="L31" i="13"/>
  <c r="E31" i="13"/>
  <c r="M30" i="13"/>
  <c r="L30" i="13"/>
  <c r="E30" i="13"/>
  <c r="M27" i="13"/>
  <c r="L27" i="13"/>
  <c r="E27" i="13"/>
  <c r="M26" i="13"/>
  <c r="L26" i="13"/>
  <c r="E26" i="13"/>
  <c r="M23" i="13"/>
  <c r="E23" i="13"/>
  <c r="M20" i="13"/>
  <c r="L20" i="13"/>
  <c r="E20" i="13"/>
  <c r="M19" i="13"/>
  <c r="E19" i="13"/>
  <c r="M18" i="13"/>
  <c r="E18" i="13"/>
  <c r="M15" i="13"/>
  <c r="L15" i="13"/>
  <c r="E15" i="13"/>
  <c r="M14" i="13"/>
  <c r="L14" i="13"/>
  <c r="E14" i="13"/>
  <c r="M11" i="13"/>
  <c r="L11" i="13"/>
  <c r="E11" i="13"/>
  <c r="M10" i="13"/>
  <c r="L10" i="13"/>
  <c r="E10" i="13"/>
  <c r="M7" i="13"/>
  <c r="L7" i="13"/>
  <c r="E7" i="13"/>
  <c r="M6" i="13"/>
  <c r="L6" i="13"/>
  <c r="E6" i="13"/>
  <c r="U84" i="10"/>
  <c r="T84" i="10"/>
  <c r="E84" i="10"/>
  <c r="U83" i="10"/>
  <c r="T83" i="10"/>
  <c r="E83" i="10"/>
  <c r="U80" i="10"/>
  <c r="T80" i="10"/>
  <c r="E80" i="10"/>
  <c r="U79" i="10"/>
  <c r="T79" i="10"/>
  <c r="E79" i="10"/>
  <c r="U78" i="10"/>
  <c r="T78" i="10"/>
  <c r="E78" i="10"/>
  <c r="U75" i="10"/>
  <c r="T75" i="10"/>
  <c r="E75" i="10"/>
  <c r="U74" i="10"/>
  <c r="T74" i="10"/>
  <c r="E74" i="10"/>
  <c r="U73" i="10"/>
  <c r="T73" i="10"/>
  <c r="E73" i="10"/>
  <c r="U72" i="10"/>
  <c r="T72" i="10"/>
  <c r="E72" i="10"/>
  <c r="U71" i="10"/>
  <c r="T71" i="10"/>
  <c r="E71" i="10"/>
  <c r="U68" i="10"/>
  <c r="T68" i="10"/>
  <c r="E68" i="10"/>
  <c r="U67" i="10"/>
  <c r="E67" i="10"/>
  <c r="U66" i="10"/>
  <c r="T66" i="10"/>
  <c r="E66" i="10"/>
  <c r="U65" i="10"/>
  <c r="T65" i="10"/>
  <c r="E65" i="10"/>
  <c r="U64" i="10"/>
  <c r="T64" i="10"/>
  <c r="E64" i="10"/>
  <c r="U63" i="10"/>
  <c r="T63" i="10"/>
  <c r="E63" i="10"/>
  <c r="U62" i="10"/>
  <c r="T62" i="10"/>
  <c r="E62" i="10"/>
  <c r="U61" i="10"/>
  <c r="T61" i="10"/>
  <c r="E61" i="10"/>
  <c r="U60" i="10"/>
  <c r="T60" i="10"/>
  <c r="E60" i="10"/>
  <c r="U59" i="10"/>
  <c r="T59" i="10"/>
  <c r="E59" i="10"/>
  <c r="U56" i="10"/>
  <c r="T56" i="10"/>
  <c r="E56" i="10"/>
  <c r="U55" i="10"/>
  <c r="T55" i="10"/>
  <c r="E55" i="10"/>
  <c r="U54" i="10"/>
  <c r="T54" i="10"/>
  <c r="E54" i="10"/>
  <c r="U53" i="10"/>
  <c r="T53" i="10"/>
  <c r="E53" i="10"/>
  <c r="U52" i="10"/>
  <c r="T52" i="10"/>
  <c r="E52" i="10"/>
  <c r="U51" i="10"/>
  <c r="T51" i="10"/>
  <c r="E51" i="10"/>
  <c r="U50" i="10"/>
  <c r="E50" i="10"/>
  <c r="U49" i="10"/>
  <c r="T49" i="10"/>
  <c r="E49" i="10"/>
  <c r="U48" i="10"/>
  <c r="T48" i="10"/>
  <c r="E48" i="10"/>
  <c r="U46" i="10"/>
  <c r="T46" i="10"/>
  <c r="E46" i="10"/>
  <c r="U47" i="10"/>
  <c r="T47" i="10"/>
  <c r="E47" i="10"/>
  <c r="U43" i="10"/>
  <c r="E43" i="10"/>
  <c r="U42" i="10"/>
  <c r="T42" i="10"/>
  <c r="E42" i="10"/>
  <c r="U41" i="10"/>
  <c r="T41" i="10"/>
  <c r="E41" i="10"/>
  <c r="U40" i="10"/>
  <c r="T40" i="10"/>
  <c r="E40" i="10"/>
  <c r="U39" i="10"/>
  <c r="T39" i="10"/>
  <c r="E39" i="10"/>
  <c r="U38" i="10"/>
  <c r="T38" i="10"/>
  <c r="E38" i="10"/>
  <c r="U37" i="10"/>
  <c r="T37" i="10"/>
  <c r="E37" i="10"/>
  <c r="U36" i="10"/>
  <c r="T36" i="10"/>
  <c r="E36" i="10"/>
  <c r="U35" i="10"/>
  <c r="T35" i="10"/>
  <c r="E35" i="10"/>
  <c r="U34" i="10"/>
  <c r="T34" i="10"/>
  <c r="E34" i="10"/>
  <c r="U31" i="10"/>
  <c r="T31" i="10"/>
  <c r="E31" i="10"/>
  <c r="U30" i="10"/>
  <c r="T30" i="10"/>
  <c r="E30" i="10"/>
  <c r="U29" i="10"/>
  <c r="T29" i="10"/>
  <c r="E29" i="10"/>
  <c r="U26" i="10"/>
  <c r="T26" i="10"/>
  <c r="E26" i="10"/>
  <c r="U25" i="10"/>
  <c r="T25" i="10"/>
  <c r="E25" i="10"/>
  <c r="U24" i="10"/>
  <c r="T24" i="10"/>
  <c r="E24" i="10"/>
  <c r="U23" i="10"/>
  <c r="T23" i="10"/>
  <c r="E23" i="10"/>
  <c r="U20" i="10"/>
  <c r="T20" i="10"/>
  <c r="E20" i="10"/>
  <c r="U19" i="10"/>
  <c r="T19" i="10"/>
  <c r="E19" i="10"/>
  <c r="U16" i="10"/>
  <c r="T16" i="10"/>
  <c r="E16" i="10"/>
  <c r="U15" i="10"/>
  <c r="T15" i="10"/>
  <c r="E15" i="10"/>
  <c r="U14" i="10"/>
  <c r="T14" i="10"/>
  <c r="E14" i="10"/>
  <c r="U13" i="10"/>
  <c r="T13" i="10"/>
  <c r="E13" i="10"/>
  <c r="U10" i="10"/>
  <c r="T10" i="10"/>
  <c r="E10" i="10"/>
  <c r="U7" i="10"/>
  <c r="T7" i="10"/>
  <c r="E7" i="10"/>
  <c r="U6" i="10"/>
  <c r="T6" i="10"/>
  <c r="E6" i="10"/>
  <c r="U71" i="9"/>
  <c r="T71" i="9"/>
  <c r="E71" i="9"/>
  <c r="U68" i="9"/>
  <c r="T68" i="9"/>
  <c r="E68" i="9"/>
  <c r="U67" i="9"/>
  <c r="T67" i="9"/>
  <c r="E67" i="9"/>
  <c r="U64" i="9"/>
  <c r="T64" i="9"/>
  <c r="E64" i="9"/>
  <c r="U63" i="9"/>
  <c r="T63" i="9"/>
  <c r="E63" i="9"/>
  <c r="U60" i="9"/>
  <c r="T60" i="9"/>
  <c r="E60" i="9"/>
  <c r="U59" i="9"/>
  <c r="T59" i="9"/>
  <c r="E59" i="9"/>
  <c r="U58" i="9"/>
  <c r="T58" i="9"/>
  <c r="E58" i="9"/>
  <c r="U57" i="9"/>
  <c r="T57" i="9"/>
  <c r="E57" i="9"/>
  <c r="U56" i="9"/>
  <c r="T56" i="9"/>
  <c r="E56" i="9"/>
  <c r="U53" i="9"/>
  <c r="T53" i="9"/>
  <c r="E53" i="9"/>
  <c r="U52" i="9"/>
  <c r="T52" i="9"/>
  <c r="E52" i="9"/>
  <c r="U51" i="9"/>
  <c r="T51" i="9"/>
  <c r="E51" i="9"/>
  <c r="U50" i="9"/>
  <c r="T50" i="9"/>
  <c r="E50" i="9"/>
  <c r="U49" i="9"/>
  <c r="T49" i="9"/>
  <c r="E49" i="9"/>
  <c r="U46" i="9"/>
  <c r="T46" i="9"/>
  <c r="E46" i="9"/>
  <c r="U45" i="9"/>
  <c r="T45" i="9"/>
  <c r="E45" i="9"/>
  <c r="U44" i="9"/>
  <c r="T44" i="9"/>
  <c r="E44" i="9"/>
  <c r="U43" i="9"/>
  <c r="T43" i="9"/>
  <c r="E43" i="9"/>
  <c r="U42" i="9"/>
  <c r="T42" i="9"/>
  <c r="E42" i="9"/>
  <c r="U41" i="9"/>
  <c r="T41" i="9"/>
  <c r="E41" i="9"/>
  <c r="U40" i="9"/>
  <c r="T40" i="9"/>
  <c r="E40" i="9"/>
  <c r="U39" i="9"/>
  <c r="T39" i="9"/>
  <c r="E39" i="9"/>
  <c r="U36" i="9"/>
  <c r="T36" i="9"/>
  <c r="E36" i="9"/>
  <c r="U35" i="9"/>
  <c r="T35" i="9"/>
  <c r="E35" i="9"/>
  <c r="U34" i="9"/>
  <c r="T34" i="9"/>
  <c r="E34" i="9"/>
  <c r="U33" i="9"/>
  <c r="T33" i="9"/>
  <c r="E33" i="9"/>
  <c r="U30" i="9"/>
  <c r="T30" i="9"/>
  <c r="E30" i="9"/>
  <c r="U29" i="9"/>
  <c r="T29" i="9"/>
  <c r="E29" i="9"/>
  <c r="U26" i="9"/>
  <c r="T26" i="9"/>
  <c r="E26" i="9"/>
  <c r="U25" i="9"/>
  <c r="T25" i="9"/>
  <c r="E25" i="9"/>
  <c r="U22" i="9"/>
  <c r="T22" i="9"/>
  <c r="E22" i="9"/>
  <c r="U19" i="9"/>
  <c r="T19" i="9"/>
  <c r="E19" i="9"/>
  <c r="U16" i="9"/>
  <c r="T16" i="9"/>
  <c r="E16" i="9"/>
  <c r="U15" i="9"/>
  <c r="T15" i="9"/>
  <c r="E15" i="9"/>
  <c r="U12" i="9"/>
  <c r="T12" i="9"/>
  <c r="E12" i="9"/>
  <c r="U9" i="9"/>
  <c r="T9" i="9"/>
  <c r="E9" i="9"/>
  <c r="U6" i="9"/>
  <c r="T6" i="9"/>
  <c r="E6" i="9"/>
  <c r="U42" i="6"/>
  <c r="T42" i="6"/>
  <c r="E42" i="6"/>
  <c r="U39" i="6"/>
  <c r="T39" i="6"/>
  <c r="E39" i="6"/>
  <c r="U38" i="6"/>
  <c r="T38" i="6"/>
  <c r="E38" i="6"/>
  <c r="U33" i="6"/>
  <c r="T33" i="6"/>
  <c r="E33" i="6"/>
  <c r="U30" i="6"/>
  <c r="T30" i="6"/>
  <c r="E30" i="6"/>
  <c r="U27" i="6"/>
  <c r="T27" i="6"/>
  <c r="E27" i="6"/>
  <c r="U26" i="6"/>
  <c r="T26" i="6"/>
  <c r="E26" i="6"/>
  <c r="U23" i="6"/>
  <c r="T23" i="6"/>
  <c r="E23" i="6"/>
  <c r="U22" i="6"/>
  <c r="T22" i="6"/>
  <c r="E22" i="6"/>
  <c r="U21" i="6"/>
  <c r="E21" i="6"/>
  <c r="U18" i="6"/>
  <c r="T18" i="6"/>
  <c r="E18" i="6"/>
  <c r="U17" i="6"/>
  <c r="E17" i="6"/>
  <c r="U16" i="6"/>
  <c r="T16" i="6"/>
  <c r="E16" i="6"/>
  <c r="U15" i="6"/>
  <c r="T15" i="6"/>
  <c r="E15" i="6"/>
  <c r="U12" i="6"/>
  <c r="T12" i="6"/>
  <c r="E12" i="6"/>
  <c r="U9" i="6"/>
  <c r="T9" i="6"/>
  <c r="E9" i="6"/>
  <c r="U6" i="6"/>
  <c r="E6" i="6"/>
  <c r="U55" i="5"/>
  <c r="T55" i="5"/>
  <c r="E55" i="5"/>
  <c r="U54" i="5"/>
  <c r="T54" i="5"/>
  <c r="E54" i="5"/>
  <c r="U51" i="5"/>
  <c r="T51" i="5"/>
  <c r="E51" i="5"/>
  <c r="U48" i="5"/>
  <c r="T48" i="5"/>
  <c r="E48" i="5"/>
  <c r="U47" i="5"/>
  <c r="E47" i="5"/>
  <c r="U46" i="5"/>
  <c r="T46" i="5"/>
  <c r="E46" i="5"/>
  <c r="U45" i="5"/>
  <c r="T45" i="5"/>
  <c r="E45" i="5"/>
  <c r="U40" i="5"/>
  <c r="T40" i="5"/>
  <c r="E40" i="5"/>
  <c r="U39" i="5"/>
  <c r="T39" i="5"/>
  <c r="E39" i="5"/>
  <c r="U38" i="5"/>
  <c r="T38" i="5"/>
  <c r="E38" i="5"/>
  <c r="U35" i="5"/>
  <c r="T35" i="5"/>
  <c r="E35" i="5"/>
  <c r="U34" i="5"/>
  <c r="E34" i="5"/>
  <c r="U33" i="5"/>
  <c r="T33" i="5"/>
  <c r="E33" i="5"/>
  <c r="U32" i="5"/>
  <c r="T32" i="5"/>
  <c r="E32" i="5"/>
  <c r="U31" i="5"/>
  <c r="T31" i="5"/>
  <c r="E31" i="5"/>
  <c r="U30" i="5"/>
  <c r="T30" i="5"/>
  <c r="E30" i="5"/>
  <c r="U29" i="5"/>
  <c r="T29" i="5"/>
  <c r="E29" i="5"/>
  <c r="U28" i="5"/>
  <c r="T28" i="5"/>
  <c r="E28" i="5"/>
  <c r="U27" i="5"/>
  <c r="T27" i="5"/>
  <c r="E27" i="5"/>
  <c r="U24" i="5"/>
  <c r="T24" i="5"/>
  <c r="E24" i="5"/>
  <c r="U23" i="5"/>
  <c r="T23" i="5"/>
  <c r="E23" i="5"/>
  <c r="U22" i="5"/>
  <c r="E22" i="5"/>
  <c r="U21" i="5"/>
  <c r="T21" i="5"/>
  <c r="E21" i="5"/>
  <c r="U20" i="5"/>
  <c r="T20" i="5"/>
  <c r="E20" i="5"/>
  <c r="U19" i="5"/>
  <c r="T19" i="5"/>
  <c r="E19" i="5"/>
  <c r="U18" i="5"/>
  <c r="E18" i="5"/>
  <c r="U15" i="5"/>
  <c r="E15" i="5"/>
  <c r="U14" i="5"/>
  <c r="T14" i="5"/>
  <c r="E14" i="5"/>
  <c r="U13" i="5"/>
  <c r="E13" i="5"/>
  <c r="U12" i="5"/>
  <c r="T12" i="5"/>
  <c r="E12" i="5"/>
  <c r="U9" i="5"/>
  <c r="T9" i="5"/>
  <c r="E9" i="5"/>
  <c r="U6" i="5"/>
  <c r="T6" i="5"/>
  <c r="E6" i="5"/>
</calcChain>
</file>

<file path=xl/sharedStrings.xml><?xml version="1.0" encoding="utf-8"?>
<sst xmlns="http://schemas.openxmlformats.org/spreadsheetml/2006/main" count="8681" uniqueCount="2038">
  <si>
    <t>European Championship
WRPF любители Пауэрлифтинг без экипировки ДК
Saint Petersburg, May 10-12, 2019</t>
  </si>
  <si>
    <t>Место</t>
  </si>
  <si>
    <t>ФИО</t>
  </si>
  <si>
    <t>Возрастная группа
Дата рождения/Возраст</t>
  </si>
  <si>
    <t>Собственный 
Вес</t>
  </si>
  <si>
    <t>Wilks</t>
  </si>
  <si>
    <t>Команда</t>
  </si>
  <si>
    <t>Город/Страна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</si>
  <si>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</si>
  <si>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</si>
  <si>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</si>
  <si>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</si>
  <si>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</si>
  <si>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</si>
  <si>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</si>
  <si>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48</t>
  </si>
  <si>
    <t>1</t>
  </si>
  <si>
    <t>Афонюшкина Наталья</t>
  </si>
  <si>
    <t>Открытая (09.11.1984)/34</t>
  </si>
  <si>
    <t>46,55</t>
  </si>
  <si>
    <t>Russia</t>
  </si>
  <si>
    <t xml:space="preserve">RUS/Тихвин </t>
  </si>
  <si>
    <t>67,5</t>
  </si>
  <si>
    <t>75,0</t>
  </si>
  <si>
    <t>85,0</t>
  </si>
  <si>
    <t>42,5</t>
  </si>
  <si>
    <t>45,0</t>
  </si>
  <si>
    <t>47,5</t>
  </si>
  <si>
    <t>87,5</t>
  </si>
  <si>
    <t>95,0</t>
  </si>
  <si>
    <t>100,0</t>
  </si>
  <si>
    <t xml:space="preserve">Соколов А. </t>
  </si>
  <si>
    <t>Фомичева Светлана</t>
  </si>
  <si>
    <t>Мастера 40-49 (25.10.1977)/41</t>
  </si>
  <si>
    <t>70,0</t>
  </si>
  <si>
    <t>80,0</t>
  </si>
  <si>
    <t>40,0</t>
  </si>
  <si>
    <t>105,0</t>
  </si>
  <si>
    <t/>
  </si>
  <si>
    <t>ВЕСОВАЯ КАТЕГОРИЯ   52</t>
  </si>
  <si>
    <t>Фомичева Маргарита</t>
  </si>
  <si>
    <t>Открытая (16.06.1991)/27</t>
  </si>
  <si>
    <t>50,60</t>
  </si>
  <si>
    <t xml:space="preserve">RUS/Череповец </t>
  </si>
  <si>
    <t>50,0</t>
  </si>
  <si>
    <t>55,0</t>
  </si>
  <si>
    <t>97,5</t>
  </si>
  <si>
    <t xml:space="preserve">Бородин Д. </t>
  </si>
  <si>
    <t>ВЕСОВАЯ КАТЕГОРИЯ   60</t>
  </si>
  <si>
    <t>Емелёва Елена</t>
  </si>
  <si>
    <t>Открытая (11.07.1976)/42</t>
  </si>
  <si>
    <t>60,00</t>
  </si>
  <si>
    <t xml:space="preserve">RUS/Шарья </t>
  </si>
  <si>
    <t>90,0</t>
  </si>
  <si>
    <t>57,5</t>
  </si>
  <si>
    <t>60,0</t>
  </si>
  <si>
    <t>62,5</t>
  </si>
  <si>
    <t>122,5</t>
  </si>
  <si>
    <t>130,0</t>
  </si>
  <si>
    <t xml:space="preserve">Самостоятельно </t>
  </si>
  <si>
    <t>2</t>
  </si>
  <si>
    <t>Певгова Мария</t>
  </si>
  <si>
    <t>Открытая (05.05.1986)/33</t>
  </si>
  <si>
    <t>56,80</t>
  </si>
  <si>
    <t>92,5</t>
  </si>
  <si>
    <t>3</t>
  </si>
  <si>
    <t>Фирсова Анастасия</t>
  </si>
  <si>
    <t>Открытая (14.09.1983)/35</t>
  </si>
  <si>
    <t>58,50</t>
  </si>
  <si>
    <t xml:space="preserve">RUS/Санкт-Петербург </t>
  </si>
  <si>
    <t>52,5</t>
  </si>
  <si>
    <t>Матвеев С.</t>
  </si>
  <si>
    <t>Мастера 40-49 (11.07.1976)/42</t>
  </si>
  <si>
    <t>ВЕСОВАЯ КАТЕГОРИЯ   67.5</t>
  </si>
  <si>
    <t>Мадорская Дина</t>
  </si>
  <si>
    <t>Девушки 17-19 (27.12.2001)/17</t>
  </si>
  <si>
    <t>61,20</t>
  </si>
  <si>
    <t>Дегтярёв А.</t>
  </si>
  <si>
    <t>Куликова Александра</t>
  </si>
  <si>
    <t>Юниорки (21.05.1998)/20</t>
  </si>
  <si>
    <t>65,20</t>
  </si>
  <si>
    <t xml:space="preserve">RUS/Пенза </t>
  </si>
  <si>
    <t>110,0</t>
  </si>
  <si>
    <t>135,0</t>
  </si>
  <si>
    <t xml:space="preserve">Васин Р. </t>
  </si>
  <si>
    <t>Чжан Даниил</t>
  </si>
  <si>
    <t>Юноши 14-16 (08.12.2003)/15</t>
  </si>
  <si>
    <t xml:space="preserve">RUS/Симферополь </t>
  </si>
  <si>
    <t>117,5</t>
  </si>
  <si>
    <t>65,0</t>
  </si>
  <si>
    <t>125,0</t>
  </si>
  <si>
    <t>142,5</t>
  </si>
  <si>
    <t xml:space="preserve">Горбунов В. </t>
  </si>
  <si>
    <t>Tarverdiyev Elmir</t>
  </si>
  <si>
    <t>Открытая (09.07.1983)/35</t>
  </si>
  <si>
    <t>59,10</t>
  </si>
  <si>
    <t xml:space="preserve">Azerbaijan </t>
  </si>
  <si>
    <t xml:space="preserve"> AZE/Баку</t>
  </si>
  <si>
    <t>160,0</t>
  </si>
  <si>
    <t>170,0</t>
  </si>
  <si>
    <t>205,0</t>
  </si>
  <si>
    <t>220,0</t>
  </si>
  <si>
    <t>Bayramov S.</t>
  </si>
  <si>
    <t>Двойников Олег</t>
  </si>
  <si>
    <t>Открытая (08.10.1960)/58</t>
  </si>
  <si>
    <t>59,60</t>
  </si>
  <si>
    <t xml:space="preserve">RUS/Великий Устюг </t>
  </si>
  <si>
    <t>115,0</t>
  </si>
  <si>
    <t>82,5</t>
  </si>
  <si>
    <t>155,0</t>
  </si>
  <si>
    <t>165,0</t>
  </si>
  <si>
    <t>Мастера 50-59 (08.10.1960)/58</t>
  </si>
  <si>
    <t>Вокулов Владислав</t>
  </si>
  <si>
    <t>Юноши 14-16 (06.12.2002)/16</t>
  </si>
  <si>
    <t>65,60</t>
  </si>
  <si>
    <t xml:space="preserve"> RUS/Нижний Новгород</t>
  </si>
  <si>
    <t>120,0</t>
  </si>
  <si>
    <t>132,5</t>
  </si>
  <si>
    <t>140,0</t>
  </si>
  <si>
    <t>Герасимов Михаил</t>
  </si>
  <si>
    <t>Открытая (06.08.1983)/35</t>
  </si>
  <si>
    <t>66,30</t>
  </si>
  <si>
    <t xml:space="preserve">RUS/Владимир </t>
  </si>
  <si>
    <t>180,0</t>
  </si>
  <si>
    <t>190,0</t>
  </si>
  <si>
    <t>145,0</t>
  </si>
  <si>
    <t>Грешнов Владимир</t>
  </si>
  <si>
    <t>Открытая (27.09.1993)/25</t>
  </si>
  <si>
    <t>65,40</t>
  </si>
  <si>
    <t xml:space="preserve">RUS/Ступино </t>
  </si>
  <si>
    <t>127,5</t>
  </si>
  <si>
    <t>ВЕСОВАЯ КАТЕГОРИЯ   75</t>
  </si>
  <si>
    <t>Хадзиев Магомет</t>
  </si>
  <si>
    <t>Юноши 14-16 (20.06.2002)/16</t>
  </si>
  <si>
    <t>72,60</t>
  </si>
  <si>
    <t xml:space="preserve">RUS/Магас </t>
  </si>
  <si>
    <t>150,0</t>
  </si>
  <si>
    <t>175,0</t>
  </si>
  <si>
    <t xml:space="preserve">Тумгоев Р. </t>
  </si>
  <si>
    <t>Паронян Вардгез</t>
  </si>
  <si>
    <t>Юноши 17-19 (08.02.2001)/18</t>
  </si>
  <si>
    <t>74,10</t>
  </si>
  <si>
    <t xml:space="preserve"> RUS/Липецк </t>
  </si>
  <si>
    <t>200,0</t>
  </si>
  <si>
    <t>210,0</t>
  </si>
  <si>
    <t>225,0</t>
  </si>
  <si>
    <t>247,5</t>
  </si>
  <si>
    <t xml:space="preserve">Иноземцев С. </t>
  </si>
  <si>
    <t>Луценко Александр</t>
  </si>
  <si>
    <t>Юниоры (15.09.1996)/22</t>
  </si>
  <si>
    <t>75,00</t>
  </si>
  <si>
    <t xml:space="preserve">UKR/Луганск </t>
  </si>
  <si>
    <t>182,5</t>
  </si>
  <si>
    <t>230,0</t>
  </si>
  <si>
    <t>250,0</t>
  </si>
  <si>
    <t>265,0</t>
  </si>
  <si>
    <t>Осипов Даниил</t>
  </si>
  <si>
    <t>Юниоры (04.06.1997)/21</t>
  </si>
  <si>
    <t>73,30</t>
  </si>
  <si>
    <t xml:space="preserve">RUS/Валдай </t>
  </si>
  <si>
    <t>195,0</t>
  </si>
  <si>
    <t>222,5</t>
  </si>
  <si>
    <t>Слепцов Руслан</t>
  </si>
  <si>
    <t>Юниоры (15.03.1998)/21</t>
  </si>
  <si>
    <t>72,40</t>
  </si>
  <si>
    <t xml:space="preserve"> RUS/Намцы</t>
  </si>
  <si>
    <t>185,0</t>
  </si>
  <si>
    <t>Иванов Е.</t>
  </si>
  <si>
    <t>Плескач Дмитрий</t>
  </si>
  <si>
    <t>Открытая (31.07.1988)/30</t>
  </si>
  <si>
    <t>74,90</t>
  </si>
  <si>
    <t>Belarus</t>
  </si>
  <si>
    <t xml:space="preserve">BLR/Могилев </t>
  </si>
  <si>
    <t>217,5</t>
  </si>
  <si>
    <t>245,0</t>
  </si>
  <si>
    <t>255,0</t>
  </si>
  <si>
    <t>Тимофеев Максим</t>
  </si>
  <si>
    <t>Открытая (18.10.1989)/29</t>
  </si>
  <si>
    <t>74,40</t>
  </si>
  <si>
    <t>Третюхин Артур</t>
  </si>
  <si>
    <t>Открытая (17.02.1993)/26</t>
  </si>
  <si>
    <t>68,70</t>
  </si>
  <si>
    <t>4</t>
  </si>
  <si>
    <t>Калиниченко Максим</t>
  </si>
  <si>
    <t>Открытая (01.01.1993)/26</t>
  </si>
  <si>
    <t>73,80</t>
  </si>
  <si>
    <t>-</t>
  </si>
  <si>
    <t>Ланин Константин</t>
  </si>
  <si>
    <t>Открытая (14.12.1984)/34</t>
  </si>
  <si>
    <t>74,50</t>
  </si>
  <si>
    <t>Estonia</t>
  </si>
  <si>
    <t>EST/Таллин</t>
  </si>
  <si>
    <t>ВЕСОВАЯ КАТЕГОРИЯ   82.5</t>
  </si>
  <si>
    <t>Принь Денис</t>
  </si>
  <si>
    <t>Юноши 17-19 (09.01.2000)/19</t>
  </si>
  <si>
    <t>81,90</t>
  </si>
  <si>
    <t xml:space="preserve"> RUS/Ноябрьск</t>
  </si>
  <si>
    <t xml:space="preserve">Кобелев В. </t>
  </si>
  <si>
    <t>Ройхка Андрей</t>
  </si>
  <si>
    <t>Юноши 17-19 (22.06.2001)/17</t>
  </si>
  <si>
    <t>82,00</t>
  </si>
  <si>
    <t xml:space="preserve"> RUS/Всеволожск</t>
  </si>
  <si>
    <t>Либина В.</t>
  </si>
  <si>
    <t>DQ</t>
  </si>
  <si>
    <t>Соколов Евгений</t>
  </si>
  <si>
    <t>Юниоры (20.08.1996)/22</t>
  </si>
  <si>
    <t>78,80</t>
  </si>
  <si>
    <t xml:space="preserve">RUS/Тосно </t>
  </si>
  <si>
    <t>235,0</t>
  </si>
  <si>
    <t>Данилов Ким</t>
  </si>
  <si>
    <t>Юниоры (30.07.1995)/23</t>
  </si>
  <si>
    <t>82,20</t>
  </si>
  <si>
    <t xml:space="preserve">RUS/Якутск </t>
  </si>
  <si>
    <t>212,5</t>
  </si>
  <si>
    <t>Захаров Никита</t>
  </si>
  <si>
    <t>Юниоры (31.08.1998)/20</t>
  </si>
  <si>
    <t>79,50</t>
  </si>
  <si>
    <t xml:space="preserve">RUS/Ульяновск </t>
  </si>
  <si>
    <t>Самойленко Дмитрий</t>
  </si>
  <si>
    <t>Открытая (13.11.1994)/24</t>
  </si>
  <si>
    <t>79,80</t>
  </si>
  <si>
    <t>Moldova</t>
  </si>
  <si>
    <t>MDA/Кишинёв</t>
  </si>
  <si>
    <t>215,0</t>
  </si>
  <si>
    <t>Харченко Александр</t>
  </si>
  <si>
    <t>Открытая (22.04.1993)/26</t>
  </si>
  <si>
    <t>81,80</t>
  </si>
  <si>
    <t>167,5</t>
  </si>
  <si>
    <t>172,5</t>
  </si>
  <si>
    <t>177,5</t>
  </si>
  <si>
    <t>Хусеинов Даниил</t>
  </si>
  <si>
    <t>Открытая (11.11.1994)/24</t>
  </si>
  <si>
    <t>82,40</t>
  </si>
  <si>
    <t xml:space="preserve">RUS/Энгельс </t>
  </si>
  <si>
    <t>Хитрецов Станислав</t>
  </si>
  <si>
    <t>Мастера 40-49 (08.04.1975)/44</t>
  </si>
  <si>
    <t>79,20</t>
  </si>
  <si>
    <t>137,5</t>
  </si>
  <si>
    <t xml:space="preserve">Медведев А. </t>
  </si>
  <si>
    <t>Буканов Валерий</t>
  </si>
  <si>
    <t>Мастера 60-69 (01.01.1956)/63</t>
  </si>
  <si>
    <t>80,90</t>
  </si>
  <si>
    <t>Батраков Сергей</t>
  </si>
  <si>
    <t>Мастера 60-69 (06.07.1956)/62</t>
  </si>
  <si>
    <t>82,10</t>
  </si>
  <si>
    <t xml:space="preserve">Колпиков Н. </t>
  </si>
  <si>
    <t>ВЕСОВАЯ КАТЕГОРИЯ   90</t>
  </si>
  <si>
    <t>Копытин Иван</t>
  </si>
  <si>
    <t>Юноши 17-19 (07.07.1999)/19</t>
  </si>
  <si>
    <t>89,20</t>
  </si>
  <si>
    <t>240,0</t>
  </si>
  <si>
    <t>260,0</t>
  </si>
  <si>
    <t>270,0</t>
  </si>
  <si>
    <t>Булгаков С.</t>
  </si>
  <si>
    <t>Чернышев Дмитрий</t>
  </si>
  <si>
    <t>Открытая (22.01.1974)/45</t>
  </si>
  <si>
    <t>89,00</t>
  </si>
  <si>
    <t xml:space="preserve"> RUS/Шлиссельбург</t>
  </si>
  <si>
    <t>227,5</t>
  </si>
  <si>
    <t>290,0</t>
  </si>
  <si>
    <t>307,5</t>
  </si>
  <si>
    <t>315,0</t>
  </si>
  <si>
    <t>Арзамазов Андрей</t>
  </si>
  <si>
    <t>Открытая (05.05.1992)/27</t>
  </si>
  <si>
    <t>87,50</t>
  </si>
  <si>
    <t xml:space="preserve"> RUS/Сосновый Бор</t>
  </si>
  <si>
    <t>162,5</t>
  </si>
  <si>
    <t>Гудков М.</t>
  </si>
  <si>
    <t>Симкин Андрей</t>
  </si>
  <si>
    <t>Открытая (27.05.1983)/35</t>
  </si>
  <si>
    <t>89,70</t>
  </si>
  <si>
    <t>252,5</t>
  </si>
  <si>
    <t>Кивик Евгений</t>
  </si>
  <si>
    <t>Открытая (13.03.1986)/33</t>
  </si>
  <si>
    <t>88,90</t>
  </si>
  <si>
    <t xml:space="preserve">Смирнов Д. </t>
  </si>
  <si>
    <t>5</t>
  </si>
  <si>
    <t>Атаев Имамутдин</t>
  </si>
  <si>
    <t>Открытая (12.10.1988)/30</t>
  </si>
  <si>
    <t>RUS/Махачкала</t>
  </si>
  <si>
    <t xml:space="preserve">Назиров О. </t>
  </si>
  <si>
    <t>6</t>
  </si>
  <si>
    <t>Веденский Виктор</t>
  </si>
  <si>
    <t>Открытая (01.04.1992)/27</t>
  </si>
  <si>
    <t>88,10</t>
  </si>
  <si>
    <t>7</t>
  </si>
  <si>
    <t>Волков Максим</t>
  </si>
  <si>
    <t>Открытая (18.09.1994)/24</t>
  </si>
  <si>
    <t>87,80</t>
  </si>
  <si>
    <t>Петров Артем</t>
  </si>
  <si>
    <t>Открытая (09.05.1992)/27</t>
  </si>
  <si>
    <t xml:space="preserve">RUS/Тверь </t>
  </si>
  <si>
    <t>Захаров Клим</t>
  </si>
  <si>
    <t>Мастера 40-49 (01.05.1974)/45</t>
  </si>
  <si>
    <t>89,90</t>
  </si>
  <si>
    <t>ВЕСОВАЯ КАТЕГОРИЯ   100</t>
  </si>
  <si>
    <t>Stoichev Slavyan</t>
  </si>
  <si>
    <t>Открытая (06.01.1986)/33</t>
  </si>
  <si>
    <t>99,00</t>
  </si>
  <si>
    <t>Bulgaria</t>
  </si>
  <si>
    <t xml:space="preserve">BGR/Sofia </t>
  </si>
  <si>
    <t>275,0</t>
  </si>
  <si>
    <t>285,0</t>
  </si>
  <si>
    <t>Georgiev E.</t>
  </si>
  <si>
    <t>Миронов Владимир</t>
  </si>
  <si>
    <t>Открытая (11.05.1985)/34</t>
  </si>
  <si>
    <t>98,50</t>
  </si>
  <si>
    <t xml:space="preserve">BLR/Дубровно </t>
  </si>
  <si>
    <t>Апухтин Александр</t>
  </si>
  <si>
    <t>Открытая (21.12.1993)/25</t>
  </si>
  <si>
    <t>97,30</t>
  </si>
  <si>
    <t xml:space="preserve">RUS/Мурманск </t>
  </si>
  <si>
    <t>147,5</t>
  </si>
  <si>
    <t>242,5</t>
  </si>
  <si>
    <t>Литвинов Василий</t>
  </si>
  <si>
    <t>Открытая (12.12.1984)/34</t>
  </si>
  <si>
    <t>93,20</t>
  </si>
  <si>
    <t xml:space="preserve"> RUS/Подпорожье</t>
  </si>
  <si>
    <t>Панов Алексей</t>
  </si>
  <si>
    <t>Открытая (26.04.1993)/26</t>
  </si>
  <si>
    <t>97,40</t>
  </si>
  <si>
    <t xml:space="preserve"> RUS/Электросталь </t>
  </si>
  <si>
    <t>152,5</t>
  </si>
  <si>
    <t>ВЕСОВАЯ КАТЕГОРИЯ   110</t>
  </si>
  <si>
    <t>Юноши 17-19 (14.11.1999)/19</t>
  </si>
  <si>
    <t>107,40</t>
  </si>
  <si>
    <t>Тумгоев Рустам</t>
  </si>
  <si>
    <t>Открытая (13.12.1989)/29</t>
  </si>
  <si>
    <t>102,30</t>
  </si>
  <si>
    <t>Богатырев М.</t>
  </si>
  <si>
    <t>Исрапилов Магомедамин</t>
  </si>
  <si>
    <t>Мастера 40-49 (03.05.1975)/44</t>
  </si>
  <si>
    <t>108,50</t>
  </si>
  <si>
    <t>ВЕСОВАЯ КАТЕГОРИЯ   125</t>
  </si>
  <si>
    <t>Паршиков Ион</t>
  </si>
  <si>
    <t>Юниоры (14.10.1995)/23</t>
  </si>
  <si>
    <t>116,90</t>
  </si>
  <si>
    <t xml:space="preserve">RUS/Приозерск </t>
  </si>
  <si>
    <t>Усов А.</t>
  </si>
  <si>
    <t>Открытая (14.10.1995)/23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</si>
  <si>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</si>
  <si>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</si>
  <si>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</si>
  <si>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</si>
  <si>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</si>
  <si>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>Весовая категория</t>
  </si>
  <si>
    <t xml:space="preserve">Сумма </t>
  </si>
  <si>
    <t xml:space="preserve">Wilks </t>
  </si>
  <si>
    <t xml:space="preserve">Юноши 17-19 </t>
  </si>
  <si>
    <t>75</t>
  </si>
  <si>
    <t>575,0</t>
  </si>
  <si>
    <t>413,1950</t>
  </si>
  <si>
    <t>90</t>
  </si>
  <si>
    <t>625,0</t>
  </si>
  <si>
    <t>400,8125</t>
  </si>
  <si>
    <t>82.5</t>
  </si>
  <si>
    <t>500,0</t>
  </si>
  <si>
    <t>336,4500</t>
  </si>
  <si>
    <t xml:space="preserve">Открытая </t>
  </si>
  <si>
    <t>100</t>
  </si>
  <si>
    <t>727,5</t>
  </si>
  <si>
    <t>444,5753</t>
  </si>
  <si>
    <t>690,0</t>
  </si>
  <si>
    <t>443,0490</t>
  </si>
  <si>
    <t>602,5</t>
  </si>
  <si>
    <t>411,9895</t>
  </si>
  <si>
    <t>European Championship
WRPF любители Пауэрлифтинг без экипировки
Saint Petersburg, May 10-12, 2019</t>
  </si>
  <si>
    <t>Жук Юлия</t>
  </si>
  <si>
    <t>Открытая (01.04.1986)/33</t>
  </si>
  <si>
    <t>45,90</t>
  </si>
  <si>
    <t>25,0</t>
  </si>
  <si>
    <t>27,5</t>
  </si>
  <si>
    <t>30,0</t>
  </si>
  <si>
    <t>77,5</t>
  </si>
  <si>
    <t xml:space="preserve">Таранухин Г. </t>
  </si>
  <si>
    <t>Бондарчук Елена</t>
  </si>
  <si>
    <t>Открытая (18.06.1980)/38</t>
  </si>
  <si>
    <t>59,80</t>
  </si>
  <si>
    <t>107,5</t>
  </si>
  <si>
    <t>72,5</t>
  </si>
  <si>
    <t>Сбойнова Антонина</t>
  </si>
  <si>
    <t>Открытая (01.08.1974)/44</t>
  </si>
  <si>
    <t>64,60</t>
  </si>
  <si>
    <t>Дога Виктория</t>
  </si>
  <si>
    <t>Открытая (04.09.1982)/36</t>
  </si>
  <si>
    <t>102,5</t>
  </si>
  <si>
    <t>112,5</t>
  </si>
  <si>
    <t>Петрова Ксения</t>
  </si>
  <si>
    <t>Открытая (23.10.1990)/28</t>
  </si>
  <si>
    <t>Парджиани Анна</t>
  </si>
  <si>
    <t>Открытая (06.11.1996)/22</t>
  </si>
  <si>
    <t>82,30</t>
  </si>
  <si>
    <t>207,5</t>
  </si>
  <si>
    <t xml:space="preserve">Непотюк А. </t>
  </si>
  <si>
    <t>ВЕСОВАЯ КАТЕГОРИЯ   90+</t>
  </si>
  <si>
    <t>Пужаева Марина</t>
  </si>
  <si>
    <t>Открытая (13.06.1994)/24</t>
  </si>
  <si>
    <t>105,90</t>
  </si>
  <si>
    <t>Кольцов Денис</t>
  </si>
  <si>
    <t>Открытая (23.02.2002)/17</t>
  </si>
  <si>
    <t>66,00</t>
  </si>
  <si>
    <t xml:space="preserve">RUS/Выборг </t>
  </si>
  <si>
    <t>Яковлев Денис</t>
  </si>
  <si>
    <t>Открытая (15.06.1985)/33</t>
  </si>
  <si>
    <t>66,50</t>
  </si>
  <si>
    <t>Khalilov Rovshan</t>
  </si>
  <si>
    <t>Открытая (08.11.1990)/28</t>
  </si>
  <si>
    <t>Качармин Дмитрий</t>
  </si>
  <si>
    <t>Открытая (09.08.1987)/31</t>
  </si>
  <si>
    <t xml:space="preserve">Талеров А. </t>
  </si>
  <si>
    <t>Шишкин Денис</t>
  </si>
  <si>
    <t>Открытая (20.04.1983)/36</t>
  </si>
  <si>
    <t>RUS/пгт Междуреченский</t>
  </si>
  <si>
    <t>280,0</t>
  </si>
  <si>
    <t>300,0</t>
  </si>
  <si>
    <t>312,5</t>
  </si>
  <si>
    <t xml:space="preserve">Саранский С. </t>
  </si>
  <si>
    <t>Фомичев Константин</t>
  </si>
  <si>
    <t>Открытая (19.07.1985)/33</t>
  </si>
  <si>
    <t>81,30</t>
  </si>
  <si>
    <t>Ahmadov Roman</t>
  </si>
  <si>
    <t>Открытая (13.02.1985)/34</t>
  </si>
  <si>
    <t xml:space="preserve">  AZE/Баку</t>
  </si>
  <si>
    <t>Mustafayev A.</t>
  </si>
  <si>
    <t>Калинин Максим</t>
  </si>
  <si>
    <t>Открытая (29.03.1987)/32</t>
  </si>
  <si>
    <t>80,00</t>
  </si>
  <si>
    <t>Чумаков Илья</t>
  </si>
  <si>
    <t>Юниоры (24.06.1997)/21</t>
  </si>
  <si>
    <t xml:space="preserve">RUS/Норильск </t>
  </si>
  <si>
    <t>277,5</t>
  </si>
  <si>
    <t xml:space="preserve">Новичков П. </t>
  </si>
  <si>
    <t>Guliyev Nihad</t>
  </si>
  <si>
    <t>Юниоры (30.05.1998)/20</t>
  </si>
  <si>
    <t>86,10</t>
  </si>
  <si>
    <t xml:space="preserve">AZE/Баку </t>
  </si>
  <si>
    <t>Завадский Алексей</t>
  </si>
  <si>
    <t>Открытая (30.08.1990)/28</t>
  </si>
  <si>
    <t>89,80</t>
  </si>
  <si>
    <t xml:space="preserve">BLR/Гомель </t>
  </si>
  <si>
    <t>295,0</t>
  </si>
  <si>
    <t>Открытая (24.06.1997)/21</t>
  </si>
  <si>
    <t>Доржиев Александр</t>
  </si>
  <si>
    <t>Открытая (10.07.1984)/34</t>
  </si>
  <si>
    <t>88,70</t>
  </si>
  <si>
    <t>Немов Даниил</t>
  </si>
  <si>
    <t>Открытая (12.05.1998)/21</t>
  </si>
  <si>
    <t>89,50</t>
  </si>
  <si>
    <t xml:space="preserve">RUS/Сергиев Посад </t>
  </si>
  <si>
    <t>310,0</t>
  </si>
  <si>
    <t>332,5</t>
  </si>
  <si>
    <t>Открытая (30.05.1998)/20</t>
  </si>
  <si>
    <t>Ряхин Николай</t>
  </si>
  <si>
    <t>Мастера 50-59 (25.01.1965)/54</t>
  </si>
  <si>
    <t>87,70</t>
  </si>
  <si>
    <t xml:space="preserve">RUS/Подпорожье </t>
  </si>
  <si>
    <t xml:space="preserve">Гребеньков С. </t>
  </si>
  <si>
    <t>Боровков Сергей</t>
  </si>
  <si>
    <t>Открытая (05.03.1991)/28</t>
  </si>
  <si>
    <t>93,50</t>
  </si>
  <si>
    <t xml:space="preserve"> RUS/Петропавловск-Камчатский</t>
  </si>
  <si>
    <t>Турбар Артем</t>
  </si>
  <si>
    <t>Открытая (04.04.1981)/38</t>
  </si>
  <si>
    <t>99,70</t>
  </si>
  <si>
    <t>RUS/Пангоды</t>
  </si>
  <si>
    <t xml:space="preserve">Коновалова Е. </t>
  </si>
  <si>
    <t>Берсенев Александр</t>
  </si>
  <si>
    <t>Открытая (08.03.1978)/41</t>
  </si>
  <si>
    <t>97,80</t>
  </si>
  <si>
    <t xml:space="preserve"> RUS/пгт Междуреченский</t>
  </si>
  <si>
    <t xml:space="preserve">Шишкин Д. </t>
  </si>
  <si>
    <t>Мастера 40-49 (08.03.1978)/41</t>
  </si>
  <si>
    <t>Лаевский Федор</t>
  </si>
  <si>
    <t>Мастера 50-59 (07.01.1968)/51</t>
  </si>
  <si>
    <t>96,70</t>
  </si>
  <si>
    <t>Фоменков Владислав</t>
  </si>
  <si>
    <t>104,30</t>
  </si>
  <si>
    <t xml:space="preserve"> BLR/Минск </t>
  </si>
  <si>
    <t>157,5</t>
  </si>
  <si>
    <t>Дерягин Денис</t>
  </si>
  <si>
    <t>Открытая (28.02.1980)/39</t>
  </si>
  <si>
    <t>109,50</t>
  </si>
  <si>
    <t>237,5</t>
  </si>
  <si>
    <t>257,5</t>
  </si>
  <si>
    <t>Бакланов Иван</t>
  </si>
  <si>
    <t>Открытая (16.04.1983)/36</t>
  </si>
  <si>
    <t>103,70</t>
  </si>
  <si>
    <t xml:space="preserve">Солнцев И. </t>
  </si>
  <si>
    <t>Ржанков Владимир</t>
  </si>
  <si>
    <t>Мастера 50-59 (03.05.1962)/57</t>
  </si>
  <si>
    <t>105,80</t>
  </si>
  <si>
    <t xml:space="preserve">RUS/Кондопога </t>
  </si>
  <si>
    <t xml:space="preserve">Руруа О. </t>
  </si>
  <si>
    <t>Астахов Денис</t>
  </si>
  <si>
    <t>Открытая (21.05.1984)/34</t>
  </si>
  <si>
    <t>117,50</t>
  </si>
  <si>
    <t>330,0</t>
  </si>
  <si>
    <t>342,5</t>
  </si>
  <si>
    <t>355,0</t>
  </si>
  <si>
    <t>320,0</t>
  </si>
  <si>
    <t xml:space="preserve">Казубский Сергей </t>
  </si>
  <si>
    <t>Открытая (06.01.1980)/39</t>
  </si>
  <si>
    <t>113,50</t>
  </si>
  <si>
    <t>ВЕСОВАЯ КАТЕГОРИЯ   140</t>
  </si>
  <si>
    <t>Омаров Руслан</t>
  </si>
  <si>
    <t>Открытая (07.07.1983)/35</t>
  </si>
  <si>
    <t>128,50</t>
  </si>
  <si>
    <t>Безинских Максим</t>
  </si>
  <si>
    <t>Открытая (18.05.1986)/32</t>
  </si>
  <si>
    <t>129,40</t>
  </si>
  <si>
    <t>262,5</t>
  </si>
  <si>
    <t>ВЕСОВАЯ КАТЕГОРИЯ   140+</t>
  </si>
  <si>
    <t>Обухов Филипп</t>
  </si>
  <si>
    <t>Открытая (09.11.1993)/25</t>
  </si>
  <si>
    <t>187,00</t>
  </si>
  <si>
    <t xml:space="preserve">RUS/Киров </t>
  </si>
  <si>
    <t>360,0</t>
  </si>
  <si>
    <t>390,0</t>
  </si>
  <si>
    <t>400,0</t>
  </si>
  <si>
    <t xml:space="preserve">Женщины </t>
  </si>
  <si>
    <t>572,5</t>
  </si>
  <si>
    <t>515,8797</t>
  </si>
  <si>
    <t>447,5</t>
  </si>
  <si>
    <t>425,3935</t>
  </si>
  <si>
    <t>60</t>
  </si>
  <si>
    <t>325,0</t>
  </si>
  <si>
    <t>363,2850</t>
  </si>
  <si>
    <t>140+</t>
  </si>
  <si>
    <t>970,0</t>
  </si>
  <si>
    <t>519,0470</t>
  </si>
  <si>
    <t>720,0</t>
  </si>
  <si>
    <t>484,8480</t>
  </si>
  <si>
    <t>140</t>
  </si>
  <si>
    <t>840,0</t>
  </si>
  <si>
    <t>476,1120</t>
  </si>
  <si>
    <t>European Championship
WRPF любители Пауэрлифтинг классический в бинтах ДК
Saint Petersburg, May 10-12, 2019</t>
  </si>
  <si>
    <t>Кропотова Анастасия</t>
  </si>
  <si>
    <t>Открытая (30.01.1994)/25</t>
  </si>
  <si>
    <t>51,40</t>
  </si>
  <si>
    <t>Дудинец А.</t>
  </si>
  <si>
    <t>Унашхотлева Элла</t>
  </si>
  <si>
    <t>Открытая (19.09.1983)/35</t>
  </si>
  <si>
    <t>58,20</t>
  </si>
  <si>
    <t xml:space="preserve">RUS/Озерск </t>
  </si>
  <si>
    <t xml:space="preserve">Пилипишко Н. </t>
  </si>
  <si>
    <t>Фаррафутдинова Татьяна</t>
  </si>
  <si>
    <t>Открытая (05.05.1983)/36</t>
  </si>
  <si>
    <t>73,20</t>
  </si>
  <si>
    <t xml:space="preserve">RUS/Челябинск </t>
  </si>
  <si>
    <t>Juhimenko Edvards</t>
  </si>
  <si>
    <t>Юноши 14-16 (22.07.2005)/13</t>
  </si>
  <si>
    <t>63,20</t>
  </si>
  <si>
    <t>Latvia</t>
  </si>
  <si>
    <t xml:space="preserve">LVA/Dobele </t>
  </si>
  <si>
    <t>Cirulis I.</t>
  </si>
  <si>
    <t>Абашев Артём</t>
  </si>
  <si>
    <t>Юниоры (22.01.1999)/20</t>
  </si>
  <si>
    <t xml:space="preserve">Обухов Ф. </t>
  </si>
  <si>
    <t>Саноцкий Станислав</t>
  </si>
  <si>
    <t>Юниоры (06.12.1996)/22</t>
  </si>
  <si>
    <t>63,00</t>
  </si>
  <si>
    <t xml:space="preserve">BLR/Минск </t>
  </si>
  <si>
    <t>Кольцов А.</t>
  </si>
  <si>
    <t>Sviridov Konstantin</t>
  </si>
  <si>
    <t>Открытая (13.04.1985)/34</t>
  </si>
  <si>
    <t>66,70</t>
  </si>
  <si>
    <t xml:space="preserve">EST/Tallinn </t>
  </si>
  <si>
    <t>Насурдинов Гасан</t>
  </si>
  <si>
    <t>Юноши 17-19 (22.09.1999)/19</t>
  </si>
  <si>
    <t>70,30</t>
  </si>
  <si>
    <t>RUS/Нижневартовск</t>
  </si>
  <si>
    <t xml:space="preserve">Щербина С. </t>
  </si>
  <si>
    <t>Мурсалиев Шамил</t>
  </si>
  <si>
    <t>Юниоры (12.12.1998)/20</t>
  </si>
  <si>
    <t>72,90</t>
  </si>
  <si>
    <t>192,5</t>
  </si>
  <si>
    <t>Забелин Артем</t>
  </si>
  <si>
    <t>Открытая (09.07.1990)/28</t>
  </si>
  <si>
    <t>73,40</t>
  </si>
  <si>
    <t xml:space="preserve">RUS/Москва </t>
  </si>
  <si>
    <t>Долгушин Сергей</t>
  </si>
  <si>
    <t>Открытая (23.07.1992)/26</t>
  </si>
  <si>
    <t>80,60</t>
  </si>
  <si>
    <t>RUS/Нововоронеж</t>
  </si>
  <si>
    <t>Маркин Н.</t>
  </si>
  <si>
    <t>Никульшин Кирилл</t>
  </si>
  <si>
    <t>Открытая (29.12.1987)/31</t>
  </si>
  <si>
    <t>75,90</t>
  </si>
  <si>
    <t>Воробьев Максим</t>
  </si>
  <si>
    <t>Юниоры (19.04.1996)/23</t>
  </si>
  <si>
    <t>96,10</t>
  </si>
  <si>
    <t xml:space="preserve">RUS/Смоленск </t>
  </si>
  <si>
    <t>Казак Роман</t>
  </si>
  <si>
    <t>Открытая (09.04.1984)/35</t>
  </si>
  <si>
    <t>109,40</t>
  </si>
  <si>
    <t>RUS/Междуреченский</t>
  </si>
  <si>
    <t>Саранский С.</t>
  </si>
  <si>
    <t>Открытая (03.05.1975)/44</t>
  </si>
  <si>
    <t>Смородский Егор</t>
  </si>
  <si>
    <t>Юноши 14-16 (16.07.2002)/16</t>
  </si>
  <si>
    <t>113,00</t>
  </si>
  <si>
    <t>Нахатакян В.</t>
  </si>
  <si>
    <t>Спесивцев Евгений</t>
  </si>
  <si>
    <t>Открытая (29.05.1992)/26</t>
  </si>
  <si>
    <t>122,00</t>
  </si>
  <si>
    <t xml:space="preserve"> RUS/Нововоронеж</t>
  </si>
  <si>
    <t>Ткаченко Никита</t>
  </si>
  <si>
    <t>Юноши 17-19 (11.03.2002)/17</t>
  </si>
  <si>
    <t>131,00</t>
  </si>
  <si>
    <t xml:space="preserve">LVA/Olaine </t>
  </si>
  <si>
    <t xml:space="preserve">Мелехин С. </t>
  </si>
  <si>
    <t>European Championship
WRPF любители Пауэрлифтинг классический в бинтах
Saint Petersburg, May 10-12, 2019</t>
  </si>
  <si>
    <t>Савка Марина</t>
  </si>
  <si>
    <t>Мастера 40-49 (21.01.1979)/40</t>
  </si>
  <si>
    <t>58,30</t>
  </si>
  <si>
    <t xml:space="preserve">RUS/Воркута </t>
  </si>
  <si>
    <t xml:space="preserve">Чуба Д. </t>
  </si>
  <si>
    <t>Морозова Марина</t>
  </si>
  <si>
    <t>Открытая (09.10.1978)/40</t>
  </si>
  <si>
    <t xml:space="preserve">RUS/Волгоград </t>
  </si>
  <si>
    <t>Медведева Ю.</t>
  </si>
  <si>
    <t>Raeisi Mohammad</t>
  </si>
  <si>
    <t>Юниоры (05.04.1997)/22</t>
  </si>
  <si>
    <t>Iran</t>
  </si>
  <si>
    <t xml:space="preserve">IRN/Tehran </t>
  </si>
  <si>
    <t>340,0</t>
  </si>
  <si>
    <t>305,0</t>
  </si>
  <si>
    <t>Бортник Артём</t>
  </si>
  <si>
    <t>Юниоры (17.07.1995)/23</t>
  </si>
  <si>
    <t>267,5</t>
  </si>
  <si>
    <t xml:space="preserve">Винокуров Д. </t>
  </si>
  <si>
    <t>Нурутдинов Максим</t>
  </si>
  <si>
    <t>Открытая (28.07.1982)/36</t>
  </si>
  <si>
    <t xml:space="preserve">RUS/Иркутск </t>
  </si>
  <si>
    <t>Открытая (17.07.1995)/23</t>
  </si>
  <si>
    <t>Яскевич Дмитрий</t>
  </si>
  <si>
    <t>Юниоры (24.01.1997)/22</t>
  </si>
  <si>
    <t>86,00</t>
  </si>
  <si>
    <t>Мухин Владислав</t>
  </si>
  <si>
    <t>Открытая (01.03.1983)/36</t>
  </si>
  <si>
    <t>84,50</t>
  </si>
  <si>
    <t>Неверов Евгений</t>
  </si>
  <si>
    <t>Открытая (21.05.1983)/35</t>
  </si>
  <si>
    <t>89,10</t>
  </si>
  <si>
    <t>232,5</t>
  </si>
  <si>
    <t>Тихоновский Олег</t>
  </si>
  <si>
    <t>Открытая (04.08.1978)/40</t>
  </si>
  <si>
    <t>88,60</t>
  </si>
  <si>
    <t>Варава И.</t>
  </si>
  <si>
    <t>Кузин Григорий</t>
  </si>
  <si>
    <t>Открытая (16.05.1987)/31</t>
  </si>
  <si>
    <t>RUS/Северодвинск</t>
  </si>
  <si>
    <t>Мастера 40-49 (04.08.1978)/40</t>
  </si>
  <si>
    <t>Дременков Константин</t>
  </si>
  <si>
    <t>Мастера 50-59 (21.07.1966)/52</t>
  </si>
  <si>
    <t>86,30</t>
  </si>
  <si>
    <t>BLR/Брест</t>
  </si>
  <si>
    <t>Lewin Eick</t>
  </si>
  <si>
    <t>Юниоры (14.08.1998)/20</t>
  </si>
  <si>
    <t>Germany</t>
  </si>
  <si>
    <t xml:space="preserve">DEU/Anger </t>
  </si>
  <si>
    <t>301,0</t>
  </si>
  <si>
    <t>Friedrich A.</t>
  </si>
  <si>
    <t>Ahmadov Ramil</t>
  </si>
  <si>
    <t>Открытая (06.05.1988)/31</t>
  </si>
  <si>
    <t>97,90</t>
  </si>
  <si>
    <t>AZE/Баку</t>
  </si>
  <si>
    <t>322,5</t>
  </si>
  <si>
    <t xml:space="preserve">Verdiyev H. </t>
  </si>
  <si>
    <t>Желязков Михайло</t>
  </si>
  <si>
    <t>Открытая (12.09.1980)/38</t>
  </si>
  <si>
    <t>98,60</t>
  </si>
  <si>
    <t>Ukraine</t>
  </si>
  <si>
    <t xml:space="preserve">UKR/Кривой Рог </t>
  </si>
  <si>
    <t>Воробьев Игорь</t>
  </si>
  <si>
    <t>Открытая (18.06.1994)/24</t>
  </si>
  <si>
    <t>97,20</t>
  </si>
  <si>
    <t xml:space="preserve">RUS/Быково </t>
  </si>
  <si>
    <t>335,0</t>
  </si>
  <si>
    <t>Сердюков Дмитрий</t>
  </si>
  <si>
    <t>Открытая (03.11.1991)/27</t>
  </si>
  <si>
    <t>99,60</t>
  </si>
  <si>
    <t>Шарай Михаил</t>
  </si>
  <si>
    <t>Открытая (14.07.1989)/29</t>
  </si>
  <si>
    <t>99,80</t>
  </si>
  <si>
    <t>Дьячек Иван</t>
  </si>
  <si>
    <t>Открытая (08.10.1990)/28</t>
  </si>
  <si>
    <t>Дергунов В.</t>
  </si>
  <si>
    <t>Прманов Илья</t>
  </si>
  <si>
    <t>Открытая (25.01.1989)/30</t>
  </si>
  <si>
    <t>98,10</t>
  </si>
  <si>
    <t>Чакин Сергей</t>
  </si>
  <si>
    <t>Мастера 40-49 (24.03.1974)/45</t>
  </si>
  <si>
    <t>98,30</t>
  </si>
  <si>
    <t>Кузьмин Николай</t>
  </si>
  <si>
    <t>Юниоры (20.02.1996)/23</t>
  </si>
  <si>
    <t>101,10</t>
  </si>
  <si>
    <t>RUS/Новый Уренгой</t>
  </si>
  <si>
    <t>Иванов Дмитрий</t>
  </si>
  <si>
    <t>Открытая (16.07.1993)/25</t>
  </si>
  <si>
    <t>107,80</t>
  </si>
  <si>
    <t>RUS/Челябинск</t>
  </si>
  <si>
    <t>282,5</t>
  </si>
  <si>
    <t>292,5</t>
  </si>
  <si>
    <t>Беловал Е.</t>
  </si>
  <si>
    <t>Kranats Elviss</t>
  </si>
  <si>
    <t>Открытая (21.09.1994)/24</t>
  </si>
  <si>
    <t>108,90</t>
  </si>
  <si>
    <t xml:space="preserve">LVA/Riga </t>
  </si>
  <si>
    <t>Huseynov Razim</t>
  </si>
  <si>
    <t>Открытая (28.12.1975)/43</t>
  </si>
  <si>
    <t>123,60</t>
  </si>
  <si>
    <t>380,0</t>
  </si>
  <si>
    <t>395,0</t>
  </si>
  <si>
    <t>337,5</t>
  </si>
  <si>
    <t>Сидоренко Сергей</t>
  </si>
  <si>
    <t>Открытая (25.03.1982)/37</t>
  </si>
  <si>
    <t>111,90</t>
  </si>
  <si>
    <t>RUS/Ноябрьск</t>
  </si>
  <si>
    <t>Кобелев В.</t>
  </si>
  <si>
    <t>Курков Валерий</t>
  </si>
  <si>
    <t>Открытая (07.07.1992)/26</t>
  </si>
  <si>
    <t>119,90</t>
  </si>
  <si>
    <t xml:space="preserve">Милин И. </t>
  </si>
  <si>
    <t>Старов Дмитрий</t>
  </si>
  <si>
    <t>Мастера 40-49 (01.02.1973)/46</t>
  </si>
  <si>
    <t>121,00</t>
  </si>
  <si>
    <t xml:space="preserve">RUS/Муром </t>
  </si>
  <si>
    <t>Касьяненко Александр</t>
  </si>
  <si>
    <t>Открытая (01.06.1989)/29</t>
  </si>
  <si>
    <t>129,00</t>
  </si>
  <si>
    <t>Маланичев Андрей</t>
  </si>
  <si>
    <t>Открытая (10.01.1977)/42</t>
  </si>
  <si>
    <t>160,60</t>
  </si>
  <si>
    <t>440,0</t>
  </si>
  <si>
    <t>460,0</t>
  </si>
  <si>
    <t>470,0</t>
  </si>
  <si>
    <t>375,0</t>
  </si>
  <si>
    <t>385,0</t>
  </si>
  <si>
    <t>Рябенков Иван</t>
  </si>
  <si>
    <t>Открытая (14.01.1996)/23</t>
  </si>
  <si>
    <t>145,90</t>
  </si>
  <si>
    <t>415,0</t>
  </si>
  <si>
    <t>422,5</t>
  </si>
  <si>
    <t>370,0</t>
  </si>
  <si>
    <t>1080,0</t>
  </si>
  <si>
    <t>591,7320</t>
  </si>
  <si>
    <t>990,0</t>
  </si>
  <si>
    <t>549,9450</t>
  </si>
  <si>
    <t>125</t>
  </si>
  <si>
    <t>960,0</t>
  </si>
  <si>
    <t>548,3520</t>
  </si>
  <si>
    <t>European Championship
WRPF любители Силовое двоеборье без экипировки ДК
Saint Petersburg, May 10-12, 2019</t>
  </si>
  <si>
    <t>ВЕСОВАЯ КАТЕГОРИЯ   56</t>
  </si>
  <si>
    <t>Куценко Элла</t>
  </si>
  <si>
    <t>Открытая (14.04.1988)/31</t>
  </si>
  <si>
    <t>55,50</t>
  </si>
  <si>
    <t xml:space="preserve">Михайлова О. </t>
  </si>
  <si>
    <t>Скрипко Николай</t>
  </si>
  <si>
    <t>Юноши 17-19 (09.06.2001)/17</t>
  </si>
  <si>
    <t>57,20</t>
  </si>
  <si>
    <t xml:space="preserve">RUS/Пушкин </t>
  </si>
  <si>
    <t xml:space="preserve">Балабатько И. </t>
  </si>
  <si>
    <t>Рябчиков Денис</t>
  </si>
  <si>
    <t>Мастера 40-49 (29.07.1976)/42</t>
  </si>
  <si>
    <t>67,30</t>
  </si>
  <si>
    <t>195,5</t>
  </si>
  <si>
    <t>Мухарьямов Артем</t>
  </si>
  <si>
    <t>Открытая (03.08.1989)/29</t>
  </si>
  <si>
    <t>74,00</t>
  </si>
  <si>
    <t>Лукашук Матвей</t>
  </si>
  <si>
    <t>Юниоры (06.03.1998)/21</t>
  </si>
  <si>
    <t>78,40</t>
  </si>
  <si>
    <t xml:space="preserve">RUS/Вологда </t>
  </si>
  <si>
    <t xml:space="preserve">Алтухов А. </t>
  </si>
  <si>
    <t>Дю Андрей</t>
  </si>
  <si>
    <t>Открытая (26.10.1980)/38</t>
  </si>
  <si>
    <t>77,60</t>
  </si>
  <si>
    <t>Клищ Роман</t>
  </si>
  <si>
    <t>Открытая (29.03.1992)/27</t>
  </si>
  <si>
    <t>Красников Иван</t>
  </si>
  <si>
    <t>Открытая (03.07.1990)/28</t>
  </si>
  <si>
    <t>Kasabjans Karens</t>
  </si>
  <si>
    <t>Мастера 50-59 (18.06.1967)/51</t>
  </si>
  <si>
    <t>79,60</t>
  </si>
  <si>
    <t>Vedmedovskijs S.</t>
  </si>
  <si>
    <t>Мазур Евгений</t>
  </si>
  <si>
    <t>Открытая (30.11.1990)/28</t>
  </si>
  <si>
    <t xml:space="preserve">RUS/Одинцово </t>
  </si>
  <si>
    <t>Дрейзин Александр</t>
  </si>
  <si>
    <t>Открытая (17.04.1983)/36</t>
  </si>
  <si>
    <t xml:space="preserve"> RUS/Санкт-Петербург </t>
  </si>
  <si>
    <t xml:space="preserve">Иванов Т. </t>
  </si>
  <si>
    <t>Даниелян Арман</t>
  </si>
  <si>
    <t>Юниоры (20.01.1997)/22</t>
  </si>
  <si>
    <t xml:space="preserve">Беловал Е. </t>
  </si>
  <si>
    <t>Гаджикурбанов Беглар</t>
  </si>
  <si>
    <t>Открытая (31.01.1981)/38</t>
  </si>
  <si>
    <t>96,90</t>
  </si>
  <si>
    <t>Шамхалов А., Исрапилов М.</t>
  </si>
  <si>
    <t>Савосько Павел</t>
  </si>
  <si>
    <t>Открытая (10.02.1990)/29</t>
  </si>
  <si>
    <t>105,60</t>
  </si>
  <si>
    <t xml:space="preserve">BLR/Гродно </t>
  </si>
  <si>
    <t>Козел О.</t>
  </si>
  <si>
    <t>Кляхин Антон</t>
  </si>
  <si>
    <t>Открытая (28.04.1993)/26</t>
  </si>
  <si>
    <t>115,70</t>
  </si>
  <si>
    <t xml:space="preserve">RUS/Липецк </t>
  </si>
  <si>
    <t xml:space="preserve">Пыткин М. </t>
  </si>
  <si>
    <t>Vedmedovskijs Sergejs</t>
  </si>
  <si>
    <t>Мастера 60-69 (31.12.1957)/61</t>
  </si>
  <si>
    <t>116,30</t>
  </si>
  <si>
    <t>110</t>
  </si>
  <si>
    <t>430,0</t>
  </si>
  <si>
    <t>256,4520</t>
  </si>
  <si>
    <t>420,0</t>
  </si>
  <si>
    <t>253,3440</t>
  </si>
  <si>
    <t>252,6810</t>
  </si>
  <si>
    <t>European Championship
WRPF любители Силовое двоеборье без экипировки
Saint Petersburg, May 10-12, 2019</t>
  </si>
  <si>
    <t>Лаврова Анастасия</t>
  </si>
  <si>
    <t>Открытая (04.01.1991)/28</t>
  </si>
  <si>
    <t>59,20</t>
  </si>
  <si>
    <t>Бирюков С.</t>
  </si>
  <si>
    <t>Лаврова Екатерина</t>
  </si>
  <si>
    <t>Открытая (15.02.1994)/25</t>
  </si>
  <si>
    <t>65,80</t>
  </si>
  <si>
    <t>Фомин Сергей</t>
  </si>
  <si>
    <t>82,50</t>
  </si>
  <si>
    <t>Mamedov Parviz</t>
  </si>
  <si>
    <t>Открытая (19.07.1989)/29</t>
  </si>
  <si>
    <t>81,60</t>
  </si>
  <si>
    <t>Akhmadov R.</t>
  </si>
  <si>
    <t>Кобелев Павел</t>
  </si>
  <si>
    <t>Открытая (04.08.1989)/29</t>
  </si>
  <si>
    <t>87,40</t>
  </si>
  <si>
    <t xml:space="preserve">Belarus </t>
  </si>
  <si>
    <t>Малахов Игорь</t>
  </si>
  <si>
    <t>Открытая (11.07.1982)/36</t>
  </si>
  <si>
    <t>Меньщиков Станислав</t>
  </si>
  <si>
    <t>Открытая (31.03.1989)/30</t>
  </si>
  <si>
    <t>107,10</t>
  </si>
  <si>
    <t>Пилипишко Николай</t>
  </si>
  <si>
    <t>Открытая (13.01.1984)/35</t>
  </si>
  <si>
    <t>109,20</t>
  </si>
  <si>
    <t xml:space="preserve">RUS/Белозерск </t>
  </si>
  <si>
    <t>Ращупкин Андрей</t>
  </si>
  <si>
    <t>Открытая (28.02.1989)/30</t>
  </si>
  <si>
    <t>105,20</t>
  </si>
  <si>
    <t>Грикин Илья</t>
  </si>
  <si>
    <t>Открытая (08.04.1992)/27</t>
  </si>
  <si>
    <t>123,70</t>
  </si>
  <si>
    <t xml:space="preserve">RUS/Ярославль </t>
  </si>
  <si>
    <t>197,5</t>
  </si>
  <si>
    <t>492,5</t>
  </si>
  <si>
    <t>319,2877</t>
  </si>
  <si>
    <t>462,5</t>
  </si>
  <si>
    <t>309,8288</t>
  </si>
  <si>
    <t>432,5</t>
  </si>
  <si>
    <t>308,4590</t>
  </si>
  <si>
    <t>European Championship
WRPF любители Жим лежа без экипировки ДК
Saint Petersburg, May 10-12, 2019</t>
  </si>
  <si>
    <t>Результат</t>
  </si>
  <si>
    <t>Гукепшева Джамиля</t>
  </si>
  <si>
    <t>Открытая (19.09.1987)/31</t>
  </si>
  <si>
    <t>47,30</t>
  </si>
  <si>
    <t xml:space="preserve">RUS/Новомосковск </t>
  </si>
  <si>
    <t xml:space="preserve">Штырков Е. </t>
  </si>
  <si>
    <t>Шмонина Виктория</t>
  </si>
  <si>
    <t>Открытая (21.07.1999)/19</t>
  </si>
  <si>
    <t>48,00</t>
  </si>
  <si>
    <t xml:space="preserve">Ловчиков А. </t>
  </si>
  <si>
    <t>Платонова Кристина</t>
  </si>
  <si>
    <t>Открытая (07.05.1990)/29</t>
  </si>
  <si>
    <t>54,30</t>
  </si>
  <si>
    <t>RUS/Сосновый Бор</t>
  </si>
  <si>
    <t xml:space="preserve">Гудков М. </t>
  </si>
  <si>
    <t>Таранухо Татьяна</t>
  </si>
  <si>
    <t>Открытая (13.07.1981)/37</t>
  </si>
  <si>
    <t>55,70</t>
  </si>
  <si>
    <t xml:space="preserve">RUS/Гатчина </t>
  </si>
  <si>
    <t>Таранухо С.</t>
  </si>
  <si>
    <t>Соколова Мария</t>
  </si>
  <si>
    <t>Открытая (18.07.1987)/31</t>
  </si>
  <si>
    <t>56,00</t>
  </si>
  <si>
    <t xml:space="preserve">RUS/Елабуга </t>
  </si>
  <si>
    <t>Евдокимова В.</t>
  </si>
  <si>
    <t>Артемьева Ксения</t>
  </si>
  <si>
    <t>Открытая (21.04.1988)/31</t>
  </si>
  <si>
    <t>55,10</t>
  </si>
  <si>
    <t>Жвакина Диана</t>
  </si>
  <si>
    <t>Юниорки (17.11.1996)/22</t>
  </si>
  <si>
    <t xml:space="preserve">RUS/Орёл </t>
  </si>
  <si>
    <t xml:space="preserve">Логвинов А. </t>
  </si>
  <si>
    <t>Логачева Валерия</t>
  </si>
  <si>
    <t>Открытая (11.03.1993)/26</t>
  </si>
  <si>
    <t>57,50</t>
  </si>
  <si>
    <t>Полухина Мария</t>
  </si>
  <si>
    <t>Открытая (08.12.1990)/28</t>
  </si>
  <si>
    <t xml:space="preserve">RUS/Всеволожск </t>
  </si>
  <si>
    <t xml:space="preserve">Усков Н. </t>
  </si>
  <si>
    <t>Кузнецова Анастасия</t>
  </si>
  <si>
    <t>Мастера 40-49 (16.11.1977)/41</t>
  </si>
  <si>
    <t>Морозова Екатерина</t>
  </si>
  <si>
    <t>Открытая (23.07.1978)/40</t>
  </si>
  <si>
    <t>Огрызько Наталья</t>
  </si>
  <si>
    <t>Открытая (12.07.1975)/43</t>
  </si>
  <si>
    <t>71,50</t>
  </si>
  <si>
    <t>Лисенкова Анастасия</t>
  </si>
  <si>
    <t>Девушки 14-16 (15.05.2002)/16</t>
  </si>
  <si>
    <t>75,80</t>
  </si>
  <si>
    <t>Орехова Т.</t>
  </si>
  <si>
    <t>Диаманти Ники</t>
  </si>
  <si>
    <t>Открытая (14.01.1995)/24</t>
  </si>
  <si>
    <t>Алмазов Г.</t>
  </si>
  <si>
    <t>Роор Евгения</t>
  </si>
  <si>
    <t>Открытая (28.10.1987)/31</t>
  </si>
  <si>
    <t>Колисниченко Алексей</t>
  </si>
  <si>
    <t>Открытая (14.07.1994)/24</t>
  </si>
  <si>
    <t>49,90</t>
  </si>
  <si>
    <t xml:space="preserve">RUS/Хабаровск </t>
  </si>
  <si>
    <t>Гараева Ксения</t>
  </si>
  <si>
    <t>Открытая (20.09.1991)/27</t>
  </si>
  <si>
    <t>54,80</t>
  </si>
  <si>
    <t>Гараев А.</t>
  </si>
  <si>
    <t>Расщепий Вадим</t>
  </si>
  <si>
    <t>Юноши 14-16 (13.05.2003)/15</t>
  </si>
  <si>
    <t>55,40</t>
  </si>
  <si>
    <t xml:space="preserve">Мачановский Э. </t>
  </si>
  <si>
    <t>Селиверстов Николай</t>
  </si>
  <si>
    <t>Открытая (12.11.1987)/31</t>
  </si>
  <si>
    <t>58,60</t>
  </si>
  <si>
    <t xml:space="preserve">Гудков М., Иванов И. </t>
  </si>
  <si>
    <t>Кальницкий Никита</t>
  </si>
  <si>
    <t>Юноши 14-16 (14.12.2004)/14</t>
  </si>
  <si>
    <t>Гудков М., Иванов И.</t>
  </si>
  <si>
    <t>Титюк Олег</t>
  </si>
  <si>
    <t>Юноши 17-19 (20.10.2001)/17</t>
  </si>
  <si>
    <t>66,20</t>
  </si>
  <si>
    <t>Зорин Глеб</t>
  </si>
  <si>
    <t>Юниоры (30.06.1998)/20</t>
  </si>
  <si>
    <t>Угаров Павел</t>
  </si>
  <si>
    <t>Юниоры (01.11.1997)/21</t>
  </si>
  <si>
    <t>66,40</t>
  </si>
  <si>
    <t xml:space="preserve">RUS/Барнаул </t>
  </si>
  <si>
    <t>Дудаков Георгий</t>
  </si>
  <si>
    <t>Юниоры (02.05.1999)/20</t>
  </si>
  <si>
    <t>Усов Виктор</t>
  </si>
  <si>
    <t>Открытая (29.09.1989)/29</t>
  </si>
  <si>
    <t>RUS/Южно-Сахалинск</t>
  </si>
  <si>
    <t>Нестеренко Андрей</t>
  </si>
  <si>
    <t>Открытая (22.06.1986)/32</t>
  </si>
  <si>
    <t>Куклин Евгений</t>
  </si>
  <si>
    <t>Открытая (16.12.1981)/37</t>
  </si>
  <si>
    <t>67,20</t>
  </si>
  <si>
    <t>RUS/Новосибирск</t>
  </si>
  <si>
    <t>Манвелян Сергей</t>
  </si>
  <si>
    <t>Юниоры (07.07.1996)/22</t>
  </si>
  <si>
    <t xml:space="preserve">RUS/Обнинск </t>
  </si>
  <si>
    <t>Степанов Кирилл</t>
  </si>
  <si>
    <t>Юниоры (16.06.1998)/20</t>
  </si>
  <si>
    <t>71,30</t>
  </si>
  <si>
    <t xml:space="preserve">Машунин С. </t>
  </si>
  <si>
    <t>Гарбуз Алексей</t>
  </si>
  <si>
    <t>Юниоры (30.09.1996)/22</t>
  </si>
  <si>
    <t>Кирьянов Кирилл</t>
  </si>
  <si>
    <t>Юниоры (12.02.1998)/21</t>
  </si>
  <si>
    <t>72,70</t>
  </si>
  <si>
    <t xml:space="preserve">RUS/Чайковский </t>
  </si>
  <si>
    <t>Большаков Владислав</t>
  </si>
  <si>
    <t>Открытая (21.05.1990)/28</t>
  </si>
  <si>
    <t>72,00</t>
  </si>
  <si>
    <t>Разуваев Павел</t>
  </si>
  <si>
    <t>Открытая (02.12.1988)/30</t>
  </si>
  <si>
    <t>71,10</t>
  </si>
  <si>
    <t xml:space="preserve">RUS/Курган </t>
  </si>
  <si>
    <t>Сычёв Александр</t>
  </si>
  <si>
    <t>Открытая (26.10.1986)/32</t>
  </si>
  <si>
    <t>73,90</t>
  </si>
  <si>
    <t>Иванов Василий</t>
  </si>
  <si>
    <t>Открытая (22.12.1988)/30</t>
  </si>
  <si>
    <t>73,60</t>
  </si>
  <si>
    <t xml:space="preserve"> RUS/Чуксола</t>
  </si>
  <si>
    <t>Старцев Виталий</t>
  </si>
  <si>
    <t>Открытая (19.07.1982)/36</t>
  </si>
  <si>
    <t>Волков А.</t>
  </si>
  <si>
    <t>Гаджиагаев Пулат</t>
  </si>
  <si>
    <t>Открытая (14.05.1991)/27</t>
  </si>
  <si>
    <t>Киселёв Дмитрий</t>
  </si>
  <si>
    <t>Открытая (16.11.1990)/28</t>
  </si>
  <si>
    <t xml:space="preserve">RUS/Феодосия </t>
  </si>
  <si>
    <t>Фарутин Денис</t>
  </si>
  <si>
    <t>Мастера 40-49 (24.01.1977)/42</t>
  </si>
  <si>
    <t>74,60</t>
  </si>
  <si>
    <t xml:space="preserve">Берлин П. </t>
  </si>
  <si>
    <t>Томинг Сергей</t>
  </si>
  <si>
    <t>Мастера 50-59 (09.12.1968)/50</t>
  </si>
  <si>
    <t>73,50</t>
  </si>
  <si>
    <t>Белов Андрей</t>
  </si>
  <si>
    <t>Мастера 50-59 (22.02.1969)/50</t>
  </si>
  <si>
    <t>72,20</t>
  </si>
  <si>
    <t>Laishin Boriss</t>
  </si>
  <si>
    <t>Мастера 60-69 (06.08.1950)/68</t>
  </si>
  <si>
    <t>71,40</t>
  </si>
  <si>
    <t>Овинцовский Валерий</t>
  </si>
  <si>
    <t>Мастера 60-69 (13.06.1951)/67</t>
  </si>
  <si>
    <t>Кивик Е.</t>
  </si>
  <si>
    <t>Аксёнов Павел</t>
  </si>
  <si>
    <t>Юноши 17-19 (12.07.1999)/19</t>
  </si>
  <si>
    <t>75,60</t>
  </si>
  <si>
    <t xml:space="preserve">RUS/Шенкурск </t>
  </si>
  <si>
    <t>Цейклин Евгений</t>
  </si>
  <si>
    <t>Юноши 17-19 (17.09.2000)/18</t>
  </si>
  <si>
    <t>Григорьев Иван</t>
  </si>
  <si>
    <t>Лимарев Алексей</t>
  </si>
  <si>
    <t>Открытая (05.09.1986)/32</t>
  </si>
  <si>
    <t xml:space="preserve"> RUS/Новосибирск</t>
  </si>
  <si>
    <t xml:space="preserve">Хованский Д. </t>
  </si>
  <si>
    <t>Хван Олег</t>
  </si>
  <si>
    <t>Открытая (16.01.1991)/28</t>
  </si>
  <si>
    <t>81,20</t>
  </si>
  <si>
    <t>Мамадов Парвиз</t>
  </si>
  <si>
    <t>Открытая (13.03.1981)/38</t>
  </si>
  <si>
    <t>81,50</t>
  </si>
  <si>
    <t>Аветян Вагик</t>
  </si>
  <si>
    <t>Открытая (17.06.1989)/29</t>
  </si>
  <si>
    <t>Груздев Эдгар</t>
  </si>
  <si>
    <t>Открытая (19.09.1988)/30</t>
  </si>
  <si>
    <t>81,40</t>
  </si>
  <si>
    <t>8</t>
  </si>
  <si>
    <t>Лигай Александр</t>
  </si>
  <si>
    <t>Открытая (21.03.1987)/32</t>
  </si>
  <si>
    <t xml:space="preserve">Солцев И. </t>
  </si>
  <si>
    <t>9</t>
  </si>
  <si>
    <t>Клюквин Евгений</t>
  </si>
  <si>
    <t>Открытая (04.07.1981)/37</t>
  </si>
  <si>
    <t xml:space="preserve">RUS/Пикалёво </t>
  </si>
  <si>
    <t>10</t>
  </si>
  <si>
    <t>Малик Валерий</t>
  </si>
  <si>
    <t>Открытая (22.09.1990)/28</t>
  </si>
  <si>
    <t xml:space="preserve">RUS/Брянск </t>
  </si>
  <si>
    <t>11</t>
  </si>
  <si>
    <t>Гробовой Алексей</t>
  </si>
  <si>
    <t>Открытая (02.05.1987)/32</t>
  </si>
  <si>
    <t>79,70</t>
  </si>
  <si>
    <t>12</t>
  </si>
  <si>
    <t>Симонов Юрий</t>
  </si>
  <si>
    <t>Открытая (06.06.1993)/25</t>
  </si>
  <si>
    <t>80,30</t>
  </si>
  <si>
    <t>13</t>
  </si>
  <si>
    <t>Открытая (12.07.1999)/19</t>
  </si>
  <si>
    <t>14</t>
  </si>
  <si>
    <t>Серебряков Павел</t>
  </si>
  <si>
    <t>Открытая (24.02.1985)/34</t>
  </si>
  <si>
    <t>77,30</t>
  </si>
  <si>
    <t xml:space="preserve">Шумейко Д. </t>
  </si>
  <si>
    <t>15</t>
  </si>
  <si>
    <t>Чернов Владимир</t>
  </si>
  <si>
    <t>Открытая (27.12.1982)/36</t>
  </si>
  <si>
    <t>81,00</t>
  </si>
  <si>
    <t>16</t>
  </si>
  <si>
    <t>Чечкин Виталий</t>
  </si>
  <si>
    <t>Открытая (13.01.1985)/34</t>
  </si>
  <si>
    <t>Старченко Е.</t>
  </si>
  <si>
    <t>Грамматчиков Александр</t>
  </si>
  <si>
    <t>Открытая (27.02.1985)/34</t>
  </si>
  <si>
    <t xml:space="preserve">RUS/Подольск </t>
  </si>
  <si>
    <t xml:space="preserve">Кравченко А. </t>
  </si>
  <si>
    <t>Неронов Семён</t>
  </si>
  <si>
    <t>Открытая (08.06.1987)/31</t>
  </si>
  <si>
    <t xml:space="preserve">RUS/Омск </t>
  </si>
  <si>
    <t>Прозоров А.</t>
  </si>
  <si>
    <t>Русинов Станислав</t>
  </si>
  <si>
    <t>Мастера 40-49 (21.04.1978)/41</t>
  </si>
  <si>
    <t>81,10</t>
  </si>
  <si>
    <t>Решетников Виктор</t>
  </si>
  <si>
    <t>Юноши 17-19 (29.06.2001)/17</t>
  </si>
  <si>
    <t>84,90</t>
  </si>
  <si>
    <t>Талдыкин Алексей</t>
  </si>
  <si>
    <t>Открытая (29.03.1980)/39</t>
  </si>
  <si>
    <t>87,10</t>
  </si>
  <si>
    <t>Лапин Эдуард</t>
  </si>
  <si>
    <t>Открытая (24.03.1996)/23</t>
  </si>
  <si>
    <t>88,30</t>
  </si>
  <si>
    <t xml:space="preserve">Гулевский А. </t>
  </si>
  <si>
    <t>Шестов Алексей</t>
  </si>
  <si>
    <t>Открытая (03.07.1986)/32</t>
  </si>
  <si>
    <t>88,40</t>
  </si>
  <si>
    <t>Шумский Николай</t>
  </si>
  <si>
    <t>Открытая (29.06.1984)/34</t>
  </si>
  <si>
    <t>Колупаев Андрей</t>
  </si>
  <si>
    <t>Открытая (11.12.1990)/28</t>
  </si>
  <si>
    <t>Афанасьев Павел</t>
  </si>
  <si>
    <t>89,30</t>
  </si>
  <si>
    <t xml:space="preserve">Филиппов Н. </t>
  </si>
  <si>
    <t>Аюбаев Алмас</t>
  </si>
  <si>
    <t>Открытая (26.07.1984)/34</t>
  </si>
  <si>
    <t xml:space="preserve">Шостов А. </t>
  </si>
  <si>
    <t>Аксельрод Дмитрий</t>
  </si>
  <si>
    <t>Открытая (21.10.1983)/35</t>
  </si>
  <si>
    <t>89,40</t>
  </si>
  <si>
    <t>Гараев Артём</t>
  </si>
  <si>
    <t>Открытая (26.04.1988)/31</t>
  </si>
  <si>
    <t>87,30</t>
  </si>
  <si>
    <t>Недомолкин Артем</t>
  </si>
  <si>
    <t>Открытая (11.02.1988)/31</t>
  </si>
  <si>
    <t>86,60</t>
  </si>
  <si>
    <t xml:space="preserve">RUS/Орск </t>
  </si>
  <si>
    <t>Струговщиков Николай</t>
  </si>
  <si>
    <t>Открытая (29.04.1983)/36</t>
  </si>
  <si>
    <t>88,00</t>
  </si>
  <si>
    <t>Барбашов Александр</t>
  </si>
  <si>
    <t>Открытая (01.08.1985)/33</t>
  </si>
  <si>
    <t xml:space="preserve">RUS/Бологое </t>
  </si>
  <si>
    <t>Тимофеев Олег</t>
  </si>
  <si>
    <t>88,50</t>
  </si>
  <si>
    <t>Васильев А.</t>
  </si>
  <si>
    <t>Богданов Владислав</t>
  </si>
  <si>
    <t>Открытая (17.07.1989)/29</t>
  </si>
  <si>
    <t>86,90</t>
  </si>
  <si>
    <t>Бачурин Сергей</t>
  </si>
  <si>
    <t>Открытая (14.07.1981)/37</t>
  </si>
  <si>
    <t>87,00</t>
  </si>
  <si>
    <t xml:space="preserve">Маркитантов В. </t>
  </si>
  <si>
    <t>Росляков Сергей</t>
  </si>
  <si>
    <t>Открытая (08.12.1986)/32</t>
  </si>
  <si>
    <t xml:space="preserve">RUS/Красноярск </t>
  </si>
  <si>
    <t xml:space="preserve">Гришечко Р. </t>
  </si>
  <si>
    <t>Матвеев Валерий</t>
  </si>
  <si>
    <t>Мастера 50-59 (12.06.1960)/58</t>
  </si>
  <si>
    <t>Макитрук Владимир</t>
  </si>
  <si>
    <t>Мастера 60-69 (04.12.1956)/62</t>
  </si>
  <si>
    <t>85,90</t>
  </si>
  <si>
    <t>RUS/Полярные Зори</t>
  </si>
  <si>
    <t>Сурков Вадим</t>
  </si>
  <si>
    <t>Юноши 17-19 (30.08.2001)/17</t>
  </si>
  <si>
    <t>95,60</t>
  </si>
  <si>
    <t>Агапов Д.</t>
  </si>
  <si>
    <t>Желкобаев Руслан</t>
  </si>
  <si>
    <t>Юноши 17-19 (30.08.2000)/18</t>
  </si>
  <si>
    <t>99,20</t>
  </si>
  <si>
    <t>Федоров Дмитрий</t>
  </si>
  <si>
    <t>Юниоры (24.10.1995)/23</t>
  </si>
  <si>
    <t>98,90</t>
  </si>
  <si>
    <t>Калягин Александр</t>
  </si>
  <si>
    <t>Открытая (12.06.1983)/35</t>
  </si>
  <si>
    <t>Лынша Трофим</t>
  </si>
  <si>
    <t>Открытая (27.01.1993)/26</t>
  </si>
  <si>
    <t>93,90</t>
  </si>
  <si>
    <t>Смородинов Юрий</t>
  </si>
  <si>
    <t>Открытая (13.12.1982)/36</t>
  </si>
  <si>
    <t>98,20</t>
  </si>
  <si>
    <t>Селезнев С.</t>
  </si>
  <si>
    <t>Меренчиков Николай</t>
  </si>
  <si>
    <t>Открытая (06.10.1990)/28</t>
  </si>
  <si>
    <t>96,00</t>
  </si>
  <si>
    <t xml:space="preserve">RUS/Астрахань </t>
  </si>
  <si>
    <t>Васильев Никита</t>
  </si>
  <si>
    <t>98,40</t>
  </si>
  <si>
    <t xml:space="preserve">Костюченков К. </t>
  </si>
  <si>
    <t>Малин Валентин</t>
  </si>
  <si>
    <t>Открытая (08.09.1986)/32</t>
  </si>
  <si>
    <t>Лопатин Сергей</t>
  </si>
  <si>
    <t>Открытая (12.07.1990)/28</t>
  </si>
  <si>
    <t>97,70</t>
  </si>
  <si>
    <t>Парадиз Георгий</t>
  </si>
  <si>
    <t>Мастера 40-49 (14.05.1975)/43</t>
  </si>
  <si>
    <t>99,40</t>
  </si>
  <si>
    <t>Быстроумов Борис</t>
  </si>
  <si>
    <t>Мастера 50-59 (24.12.1964)/54</t>
  </si>
  <si>
    <t>98,70</t>
  </si>
  <si>
    <t>Щевелев Степан</t>
  </si>
  <si>
    <t>Юниоры (30.11.1995)/23</t>
  </si>
  <si>
    <t>104,70</t>
  </si>
  <si>
    <t>Рабинков Андрей</t>
  </si>
  <si>
    <t>Открытая (30.08.1983)/35</t>
  </si>
  <si>
    <t>107,50</t>
  </si>
  <si>
    <t>Шабаев Александр</t>
  </si>
  <si>
    <t>Мастера 40-49 (07.04.1972)/47</t>
  </si>
  <si>
    <t>107,60</t>
  </si>
  <si>
    <t>Дмитрий В.</t>
  </si>
  <si>
    <t>Кужельный Андрей</t>
  </si>
  <si>
    <t>Мастера 40-49 (31.05.1976)/42</t>
  </si>
  <si>
    <t>107,70</t>
  </si>
  <si>
    <t>Франчук Василий</t>
  </si>
  <si>
    <t>Мастера 60-69 (27.08.1955)/63</t>
  </si>
  <si>
    <t>106,60</t>
  </si>
  <si>
    <t>Куликов Антон</t>
  </si>
  <si>
    <t>Открытая (22.12.1982)/36</t>
  </si>
  <si>
    <t>116,20</t>
  </si>
  <si>
    <t>Воронцов Артем</t>
  </si>
  <si>
    <t>Открытая (03.08.1976)/42</t>
  </si>
  <si>
    <t>110,40</t>
  </si>
  <si>
    <t xml:space="preserve">Никитинский А. </t>
  </si>
  <si>
    <t>Борисов Александр</t>
  </si>
  <si>
    <t>Открытая (09.12.1988)/30</t>
  </si>
  <si>
    <t>118,40</t>
  </si>
  <si>
    <t>Золотов Анатолий</t>
  </si>
  <si>
    <t>Открытая (13.04.1972)/47</t>
  </si>
  <si>
    <t>121,60</t>
  </si>
  <si>
    <t xml:space="preserve">Фёдоров А. </t>
  </si>
  <si>
    <t>Мастера 40-49 (03.08.1976)/42</t>
  </si>
  <si>
    <t>Богданов Игорь</t>
  </si>
  <si>
    <t>Мастера 40-49 (11.02.1972)/47</t>
  </si>
  <si>
    <t>121,30</t>
  </si>
  <si>
    <t>Резайкин Дмитрий</t>
  </si>
  <si>
    <t>Открытая (12.02.1984)/35</t>
  </si>
  <si>
    <t>128,20</t>
  </si>
  <si>
    <t xml:space="preserve">RUS/Сочи </t>
  </si>
  <si>
    <t>Матвеев Сергей</t>
  </si>
  <si>
    <t>Открытая (28.10.1991)/27</t>
  </si>
  <si>
    <t>127,80</t>
  </si>
  <si>
    <t>Сергеев Александр</t>
  </si>
  <si>
    <t>Открытая (08.02.1979)/40</t>
  </si>
  <si>
    <t>127,40</t>
  </si>
  <si>
    <t>Мастера 40-49 (08.02.1979)/40</t>
  </si>
  <si>
    <t>102,9630</t>
  </si>
  <si>
    <t>48</t>
  </si>
  <si>
    <t>93,7090</t>
  </si>
  <si>
    <t>89,3188</t>
  </si>
  <si>
    <t>100,7987</t>
  </si>
  <si>
    <t>95,6610</t>
  </si>
  <si>
    <t>92,9885</t>
  </si>
  <si>
    <t xml:space="preserve">Юниоры </t>
  </si>
  <si>
    <t>112,7005</t>
  </si>
  <si>
    <t>107,6760</t>
  </si>
  <si>
    <t>92,3750</t>
  </si>
  <si>
    <t>133,9002</t>
  </si>
  <si>
    <t>127,5750</t>
  </si>
  <si>
    <t>118,7975</t>
  </si>
  <si>
    <t xml:space="preserve">Мастера </t>
  </si>
  <si>
    <t>Весовая ктегория</t>
  </si>
  <si>
    <t xml:space="preserve">Мастера 60-69 </t>
  </si>
  <si>
    <t>131,9472</t>
  </si>
  <si>
    <t>129,3686</t>
  </si>
  <si>
    <t>126,7177</t>
  </si>
  <si>
    <t>European Championship
WRPF любители Жим лежа без экипировки
Saint Petersburg, May 10-12, 2019</t>
  </si>
  <si>
    <t>Переходченко Вера</t>
  </si>
  <si>
    <t>Открытая (30.09.1991)/27</t>
  </si>
  <si>
    <t>53,40</t>
  </si>
  <si>
    <t>Исекеев Л.</t>
  </si>
  <si>
    <t>Дубровская Надежда</t>
  </si>
  <si>
    <t>Юниорки (21.05.1995)/23</t>
  </si>
  <si>
    <t>58,40</t>
  </si>
  <si>
    <t xml:space="preserve">Дременков К. </t>
  </si>
  <si>
    <t>Открытая (21.05.1995)/23</t>
  </si>
  <si>
    <t>Виноградова Елена</t>
  </si>
  <si>
    <t>Открытая (03.02.1986)/33</t>
  </si>
  <si>
    <t>74,80</t>
  </si>
  <si>
    <t xml:space="preserve">Михайлов А. </t>
  </si>
  <si>
    <t>Гамолина Алена</t>
  </si>
  <si>
    <t>Мастера 50-59 (17.01.1961)/58</t>
  </si>
  <si>
    <t>70,70</t>
  </si>
  <si>
    <t>Ларионов В.</t>
  </si>
  <si>
    <t>Стрябков Никита</t>
  </si>
  <si>
    <t>Юноши 17-19 (27.05.2001)/17</t>
  </si>
  <si>
    <t>67,40</t>
  </si>
  <si>
    <t>Виноградов Олег</t>
  </si>
  <si>
    <t>Юноши 17-19 (06.09.2001)/17</t>
  </si>
  <si>
    <t>64,70</t>
  </si>
  <si>
    <t xml:space="preserve">RUS/Набережные Челны </t>
  </si>
  <si>
    <t>Рудик Вячеслав</t>
  </si>
  <si>
    <t>Открытая (16.10.1986)/32</t>
  </si>
  <si>
    <t xml:space="preserve"> RUS/Северодвинск</t>
  </si>
  <si>
    <t xml:space="preserve">Кузин Г. </t>
  </si>
  <si>
    <t>Кутузов Виктор</t>
  </si>
  <si>
    <t>Мастера 80+ (17.12.1937)/81</t>
  </si>
  <si>
    <t xml:space="preserve"> RUS/Санкт-Петербург</t>
  </si>
  <si>
    <t>Исмаилов Гюндуз</t>
  </si>
  <si>
    <t>Открытая (18.12.1972)/46</t>
  </si>
  <si>
    <t>Сычёв Сергей</t>
  </si>
  <si>
    <t>Открытая (18.07.1978)/40</t>
  </si>
  <si>
    <t>Данельянц Артем</t>
  </si>
  <si>
    <t>Открытая (01.08.1993)/25</t>
  </si>
  <si>
    <t>80,10</t>
  </si>
  <si>
    <t xml:space="preserve"> RUS/Великие Луки</t>
  </si>
  <si>
    <t xml:space="preserve">Дроздов А. </t>
  </si>
  <si>
    <t>Гайдученко Станислав</t>
  </si>
  <si>
    <t>Открытая (20.04.1988)/31</t>
  </si>
  <si>
    <t>75,20</t>
  </si>
  <si>
    <t>Мастера 40-49 (18.12.1972)/46</t>
  </si>
  <si>
    <t>Мастера 40-49 (18.07.1978)/40</t>
  </si>
  <si>
    <t>Ахунжанов Джалиль</t>
  </si>
  <si>
    <t>Мастера 40-49 (20.03.1976)/43</t>
  </si>
  <si>
    <t>Усков Н.</t>
  </si>
  <si>
    <t>Марудин Игорь</t>
  </si>
  <si>
    <t>Мастера 40-49 (18.12.1975)/43</t>
  </si>
  <si>
    <t xml:space="preserve">Latvia </t>
  </si>
  <si>
    <t>Плюснин Олег</t>
  </si>
  <si>
    <t>Мастера 50-59 (22.03.1963)/56</t>
  </si>
  <si>
    <t xml:space="preserve">RUS/Сыктывкар </t>
  </si>
  <si>
    <t>Васев А.</t>
  </si>
  <si>
    <t>Ким Ореон</t>
  </si>
  <si>
    <t>Мастера 60-69 (25.03.1954)/65</t>
  </si>
  <si>
    <t>77,80</t>
  </si>
  <si>
    <t>Kazakhstan</t>
  </si>
  <si>
    <t xml:space="preserve">KAZ/Тараз </t>
  </si>
  <si>
    <t xml:space="preserve">Греев Р. </t>
  </si>
  <si>
    <t>Андреев Артур</t>
  </si>
  <si>
    <t>Юниоры (30.05.1995)/23</t>
  </si>
  <si>
    <t>85,70</t>
  </si>
  <si>
    <t>Сапожонков Андрей</t>
  </si>
  <si>
    <t>Открытая (01.01.1987)/32</t>
  </si>
  <si>
    <t xml:space="preserve">RUS/Талдом </t>
  </si>
  <si>
    <t>271,0</t>
  </si>
  <si>
    <t>272,5</t>
  </si>
  <si>
    <t xml:space="preserve"> </t>
  </si>
  <si>
    <t>Беловал Евгений</t>
  </si>
  <si>
    <t>Открытая (06.12.1991)/27</t>
  </si>
  <si>
    <t>90,00</t>
  </si>
  <si>
    <t xml:space="preserve">RUS/Новосибирск </t>
  </si>
  <si>
    <t xml:space="preserve">Соловьев В. </t>
  </si>
  <si>
    <t>Греев Руслан</t>
  </si>
  <si>
    <t>Открытая (26.02.1986)/33</t>
  </si>
  <si>
    <t>Пыткин Максим</t>
  </si>
  <si>
    <t>Открытая (30.03.1992)/27</t>
  </si>
  <si>
    <t>Колохин П.</t>
  </si>
  <si>
    <t>Киянов Павел</t>
  </si>
  <si>
    <t>Открытая (15.09.1991)/27</t>
  </si>
  <si>
    <t>LVA/Елгава</t>
  </si>
  <si>
    <t>Мингазов Александр</t>
  </si>
  <si>
    <t>Открытая (06.04.1989)/30</t>
  </si>
  <si>
    <t>88,20</t>
  </si>
  <si>
    <t>Воробьев В.</t>
  </si>
  <si>
    <t>Ульрих Павел</t>
  </si>
  <si>
    <t>Открытая (24.12.1981)/37</t>
  </si>
  <si>
    <t>88,80</t>
  </si>
  <si>
    <t xml:space="preserve"> RUS/Пангоды</t>
  </si>
  <si>
    <t>Коновалова Е.</t>
  </si>
  <si>
    <t>Цымбал Евгений</t>
  </si>
  <si>
    <t>Мастера 40-49 (14.03.1971)/48</t>
  </si>
  <si>
    <t>Русаков А.</t>
  </si>
  <si>
    <t>Девятов Павел</t>
  </si>
  <si>
    <t>Мастера 50-59 (10.05.1964)/55</t>
  </si>
  <si>
    <t>Михайлов Александр</t>
  </si>
  <si>
    <t>Мастера 60-69 (09.12.1958)/60</t>
  </si>
  <si>
    <t>Aghayev Bahlul</t>
  </si>
  <si>
    <t>Открытая (09.04.1986)/33</t>
  </si>
  <si>
    <t>Лумедзэ Кямран</t>
  </si>
  <si>
    <t>Открытая (28.10.1990)/28</t>
  </si>
  <si>
    <t>99,50</t>
  </si>
  <si>
    <t xml:space="preserve">Ukraine </t>
  </si>
  <si>
    <t xml:space="preserve">UKR/Николаев </t>
  </si>
  <si>
    <t>Солнцев Иван</t>
  </si>
  <si>
    <t>Открытая (25.03.1974)/45</t>
  </si>
  <si>
    <t>202,5</t>
  </si>
  <si>
    <t>Мухаметшин Рустам</t>
  </si>
  <si>
    <t>Открытая (18.02.1989)/30</t>
  </si>
  <si>
    <t>95,30</t>
  </si>
  <si>
    <t>187,5</t>
  </si>
  <si>
    <t>Балобанов Олег</t>
  </si>
  <si>
    <t>Алибегов М.</t>
  </si>
  <si>
    <t>Мельчиков Александр</t>
  </si>
  <si>
    <t>Открытая (26.11.1982)/36</t>
  </si>
  <si>
    <t>97,10</t>
  </si>
  <si>
    <t>Муравьев Максим</t>
  </si>
  <si>
    <t>Открытая (06.12.1988)/30</t>
  </si>
  <si>
    <t xml:space="preserve">Багаутдинов Б. </t>
  </si>
  <si>
    <t>Екушенко Виктор</t>
  </si>
  <si>
    <t>Мастера 40-49 (17.03.1977)/42</t>
  </si>
  <si>
    <t>95,00</t>
  </si>
  <si>
    <t>Мастера 40-49 (25.03.1974)/45</t>
  </si>
  <si>
    <t>Шпак Манвел</t>
  </si>
  <si>
    <t>Мастера 40-49 (10.04.1973)/46</t>
  </si>
  <si>
    <t>Кузеев Дамир</t>
  </si>
  <si>
    <t>Мастера 60-69 (14.05.1952)/66</t>
  </si>
  <si>
    <t>93,80</t>
  </si>
  <si>
    <t xml:space="preserve"> RUS/Девяткино</t>
  </si>
  <si>
    <t>Добрянский Иван</t>
  </si>
  <si>
    <t>Юниоры (12.06.1997)/21</t>
  </si>
  <si>
    <t>108,80</t>
  </si>
  <si>
    <t>Фирсов Иван</t>
  </si>
  <si>
    <t>Юниоры (24.12.1996)/22</t>
  </si>
  <si>
    <t>105,00</t>
  </si>
  <si>
    <t xml:space="preserve">RUS/Ангарск </t>
  </si>
  <si>
    <t>Маркитантов Василий</t>
  </si>
  <si>
    <t>Открытая (21.02.1980)/39</t>
  </si>
  <si>
    <t>Пухов Алексей</t>
  </si>
  <si>
    <t>Открытая (08.02.1974)/45</t>
  </si>
  <si>
    <t>107,00</t>
  </si>
  <si>
    <t>Guntis Valters</t>
  </si>
  <si>
    <t>Открытая (01.05.1980)/39</t>
  </si>
  <si>
    <t>105,30</t>
  </si>
  <si>
    <t>Новожилов Владимир</t>
  </si>
  <si>
    <t>Открытая (10.09.1989)/29</t>
  </si>
  <si>
    <t>109,70</t>
  </si>
  <si>
    <t>Романов Константин</t>
  </si>
  <si>
    <t>Открытая (27.03.1987)/32</t>
  </si>
  <si>
    <t>106,00</t>
  </si>
  <si>
    <t xml:space="preserve">RUS/Рязань </t>
  </si>
  <si>
    <t>Богданов Артём</t>
  </si>
  <si>
    <t>Открытая (07.03.1987)/32</t>
  </si>
  <si>
    <t xml:space="preserve">RUS/Сосногорск </t>
  </si>
  <si>
    <t>Язев Марк</t>
  </si>
  <si>
    <t>Открытая (27.08.1991)/27</t>
  </si>
  <si>
    <t>106,80</t>
  </si>
  <si>
    <t>Никонов Евгений</t>
  </si>
  <si>
    <t>Открытая (17.11.1994)/24</t>
  </si>
  <si>
    <t>103,50</t>
  </si>
  <si>
    <t>Мастера 40-49 (08.02.1974)/45</t>
  </si>
  <si>
    <t>Прозоров Александр</t>
  </si>
  <si>
    <t>Мастера 40-49 (12.12.1973)/45</t>
  </si>
  <si>
    <t>104,10</t>
  </si>
  <si>
    <t xml:space="preserve">RUS/Тюмень </t>
  </si>
  <si>
    <t>Анопов Андрей</t>
  </si>
  <si>
    <t>Мастера 40-49 (17.11.1975)/43</t>
  </si>
  <si>
    <t>Kabantseff Andrei</t>
  </si>
  <si>
    <t>Мастера 40-49 (20.11.1976)/42</t>
  </si>
  <si>
    <t>EST/Tallinn</t>
  </si>
  <si>
    <t>Ларионов Владимир</t>
  </si>
  <si>
    <t>Мастера 60-69 (07.08.1958)/60</t>
  </si>
  <si>
    <t>103,90</t>
  </si>
  <si>
    <t>Лисютин Максим</t>
  </si>
  <si>
    <t>Открытая (24.04.1985)/34</t>
  </si>
  <si>
    <t>118,80</t>
  </si>
  <si>
    <t>Михайлов Алексей</t>
  </si>
  <si>
    <t>Открытая (23.07.1986)/32</t>
  </si>
  <si>
    <t>117,20</t>
  </si>
  <si>
    <t>Гобадзе Владислав</t>
  </si>
  <si>
    <t>Открытая (01.02.1995)/24</t>
  </si>
  <si>
    <t>122,50</t>
  </si>
  <si>
    <t>Желтенко Е.</t>
  </si>
  <si>
    <t>Чуба Давид</t>
  </si>
  <si>
    <t>Открытая (25.09.1985)/33</t>
  </si>
  <si>
    <t>115,20</t>
  </si>
  <si>
    <t xml:space="preserve">Перепечёнов О. </t>
  </si>
  <si>
    <t>Пархимчк Федор</t>
  </si>
  <si>
    <t>115,50</t>
  </si>
  <si>
    <t>Попов Александр</t>
  </si>
  <si>
    <t>Открытая (14.05.1983)/35</t>
  </si>
  <si>
    <t>120,30</t>
  </si>
  <si>
    <t xml:space="preserve"> RUS/Нижневартовск</t>
  </si>
  <si>
    <t xml:space="preserve">Фотин А. </t>
  </si>
  <si>
    <t>Моисеев Александр</t>
  </si>
  <si>
    <t>Мастера 40-49 (11.11.1972)/46</t>
  </si>
  <si>
    <t>112,10</t>
  </si>
  <si>
    <t>Ефименков Александр</t>
  </si>
  <si>
    <t>Мастера 60-69 (09.09.1958)/60</t>
  </si>
  <si>
    <t>117,40</t>
  </si>
  <si>
    <t>Чуба Роман</t>
  </si>
  <si>
    <t>Мастера 60-69 (01.01.1954)/65</t>
  </si>
  <si>
    <t>112,70</t>
  </si>
  <si>
    <t>Peteris Isajevs</t>
  </si>
  <si>
    <t>Открытая (20.02.1984)/35</t>
  </si>
  <si>
    <t>134,30</t>
  </si>
  <si>
    <t>174,6725</t>
  </si>
  <si>
    <t>162,7920</t>
  </si>
  <si>
    <t>155,8920</t>
  </si>
  <si>
    <t xml:space="preserve">Мастера 40-49 </t>
  </si>
  <si>
    <t>162,4842</t>
  </si>
  <si>
    <t>159,5280</t>
  </si>
  <si>
    <t>European Championship
WEPF любители Жим лежа в однослойной экипировке ДК
Saint Petersburg, May 10-12, 2019</t>
  </si>
  <si>
    <t>Кравец Сергей</t>
  </si>
  <si>
    <t>Открытая (06.09.1994)/24</t>
  </si>
  <si>
    <t>78,90</t>
  </si>
  <si>
    <t xml:space="preserve"> RUS/Южно-Сахалинск</t>
  </si>
  <si>
    <t>European Championship
WEPF любители Жим лежа в однослойной экипировке
Saint Petersburg, May 10-12, 2019</t>
  </si>
  <si>
    <t xml:space="preserve">  RUS/Южно-Сахалинск</t>
  </si>
  <si>
    <t>Беликов Сергей</t>
  </si>
  <si>
    <t>Открытая (30.09.1964)/54</t>
  </si>
  <si>
    <t xml:space="preserve">  RUS/Санкт-Петербург</t>
  </si>
  <si>
    <t>Кравцов Константин</t>
  </si>
  <si>
    <t>Открытая (26.10.1982)/36</t>
  </si>
  <si>
    <t>Zaitsev Sergei</t>
  </si>
  <si>
    <t>Открытая (25.05.1982)/36</t>
  </si>
  <si>
    <t>Рекайкин Михаил</t>
  </si>
  <si>
    <t>Мастера 40-49 (19.07.1976)/42</t>
  </si>
  <si>
    <t>LVA/Рига</t>
  </si>
  <si>
    <t>Никифоров Александр</t>
  </si>
  <si>
    <t>Открытая (04.01.1982)/37</t>
  </si>
  <si>
    <t>110,80</t>
  </si>
  <si>
    <t>European Championship
WEPF любители Жим лежа в многослойной экипировке
Saint Petersburg, May 10-12, 2019</t>
  </si>
  <si>
    <t>Дудинец Андрей</t>
  </si>
  <si>
    <t>Открытая (02.06.1991)/27</t>
  </si>
  <si>
    <t>100,00</t>
  </si>
  <si>
    <t>European Championship
WEPF Жим лежа в софт экипировке "Стандарт" ДК
Saint Petersburg, May 10-12, 2019</t>
  </si>
  <si>
    <t>Gloss</t>
  </si>
  <si>
    <t>Кудрявцева Екатерина</t>
  </si>
  <si>
    <t>Открытая (08.03.1988)/31</t>
  </si>
  <si>
    <t>54,65</t>
  </si>
  <si>
    <t>Хованский Д.</t>
  </si>
  <si>
    <t>Васецкая Наталья</t>
  </si>
  <si>
    <t>Открытая (13.10.1992)/26</t>
  </si>
  <si>
    <t>Холодов Ю.</t>
  </si>
  <si>
    <t>Дробыш Алина</t>
  </si>
  <si>
    <t>Открытая (24.09.1990)/28</t>
  </si>
  <si>
    <t>Яковлев Алексей</t>
  </si>
  <si>
    <t>Открытая (23.03.1989)/30</t>
  </si>
  <si>
    <t>67,15</t>
  </si>
  <si>
    <t xml:space="preserve">  RUS/Новосибирск</t>
  </si>
  <si>
    <t>Небыков Алексей</t>
  </si>
  <si>
    <t>Открытая (19.03.1966)/53</t>
  </si>
  <si>
    <t>81,85</t>
  </si>
  <si>
    <t>Торопов Артем</t>
  </si>
  <si>
    <t>Открытая (05.10.1992)/26</t>
  </si>
  <si>
    <t>78,10</t>
  </si>
  <si>
    <t>Мастера 50-59 (19.03.1966)/53</t>
  </si>
  <si>
    <t>Иванов Игорь</t>
  </si>
  <si>
    <t>Открытая (05.08.1968)/50</t>
  </si>
  <si>
    <t xml:space="preserve">  RUS/Сосновый Бор</t>
  </si>
  <si>
    <t>Панов Владислав</t>
  </si>
  <si>
    <t>Открытая (26.05.1994)/24</t>
  </si>
  <si>
    <t xml:space="preserve">  RUS/Петропавловск-Камчатский</t>
  </si>
  <si>
    <t>Скворцов Михаил</t>
  </si>
  <si>
    <t>Мастера 40-49 (19.04.1970)/49</t>
  </si>
  <si>
    <t xml:space="preserve">RUS/Кронштадт </t>
  </si>
  <si>
    <t>Мастера 50-59 (05.08.1968)/50</t>
  </si>
  <si>
    <t>Соколов Алексей</t>
  </si>
  <si>
    <t>Открытая (10.10.1984)/34</t>
  </si>
  <si>
    <t>91,80</t>
  </si>
  <si>
    <t>Яременко Никита</t>
  </si>
  <si>
    <t>Открытая (02.12.1991)/27</t>
  </si>
  <si>
    <t>95,55</t>
  </si>
  <si>
    <t xml:space="preserve">Симкин А. </t>
  </si>
  <si>
    <t>Попов Игорь</t>
  </si>
  <si>
    <t>Мастера 50-59 (11.09.1965)/53</t>
  </si>
  <si>
    <t>Смышляев Виктор</t>
  </si>
  <si>
    <t>Мастера 50-59 (20.05.1962)/56</t>
  </si>
  <si>
    <t xml:space="preserve">   RUS/Кудрово</t>
  </si>
  <si>
    <t>Рыжов Александр</t>
  </si>
  <si>
    <t>Васильев Дмитрий</t>
  </si>
  <si>
    <t>Открытая (31.10.1979)/39</t>
  </si>
  <si>
    <t>106,40</t>
  </si>
  <si>
    <t>108,45</t>
  </si>
  <si>
    <t>0,0</t>
  </si>
  <si>
    <t>Владимиров Максим</t>
  </si>
  <si>
    <t>Открытая (25.10.1981)/37</t>
  </si>
  <si>
    <t>302,5</t>
  </si>
  <si>
    <t>Гусев Владимир</t>
  </si>
  <si>
    <t>Открытая (01.09.1968)/50</t>
  </si>
  <si>
    <t>130,50</t>
  </si>
  <si>
    <t>Мастера 50-59 (01.09.1968)/50</t>
  </si>
  <si>
    <t xml:space="preserve">Gloss </t>
  </si>
  <si>
    <t>175,5515</t>
  </si>
  <si>
    <t>169,0020</t>
  </si>
  <si>
    <t>168,5700</t>
  </si>
  <si>
    <t xml:space="preserve">Мастера 50-59 </t>
  </si>
  <si>
    <t>184,1144</t>
  </si>
  <si>
    <t>175,7574</t>
  </si>
  <si>
    <t>173,2636</t>
  </si>
  <si>
    <t>European Championship
WEPF Жим лежа в софт экипировке "Стандарт"
Saint Petersburg, May 10-12, 2019</t>
  </si>
  <si>
    <t>Тураева Анна</t>
  </si>
  <si>
    <t>Открытая (18.08.1978)/40</t>
  </si>
  <si>
    <t xml:space="preserve">RUS/Туапсе </t>
  </si>
  <si>
    <t>Мастера 40-49 (18.08.1978)/40</t>
  </si>
  <si>
    <t xml:space="preserve">   RUS/Новосибирск</t>
  </si>
  <si>
    <t>Антропов Александр</t>
  </si>
  <si>
    <t>Открытая (14.03.1969)/50</t>
  </si>
  <si>
    <t xml:space="preserve">   RUS/Всеволожск</t>
  </si>
  <si>
    <t>Фомичев К.</t>
  </si>
  <si>
    <t>Мастера 50-59 (14.03.1969)/50</t>
  </si>
  <si>
    <t>Жигулин Константин</t>
  </si>
  <si>
    <t>Открытая (03.10.1987)/31</t>
  </si>
  <si>
    <t>80,70</t>
  </si>
  <si>
    <t xml:space="preserve">RUS/Люберцы </t>
  </si>
  <si>
    <t>Васильев Евгений</t>
  </si>
  <si>
    <t>Открытая (15.08.1983)/35</t>
  </si>
  <si>
    <t>Завьялов Геннадий</t>
  </si>
  <si>
    <t>Мастера 50-59 (27.11.1967)/51</t>
  </si>
  <si>
    <t>79,90</t>
  </si>
  <si>
    <t>Аветисян Вадим</t>
  </si>
  <si>
    <t>Фомичёв К.</t>
  </si>
  <si>
    <t>Алтухов Александр</t>
  </si>
  <si>
    <t>98,00</t>
  </si>
  <si>
    <t>Грахов Ю.</t>
  </si>
  <si>
    <t>Бирюков Вячеслав</t>
  </si>
  <si>
    <t>Открытая (07.08.1982)/36</t>
  </si>
  <si>
    <t>90,90</t>
  </si>
  <si>
    <t>Гусев Сергей</t>
  </si>
  <si>
    <t>Открытая (18.03.1987)/32</t>
  </si>
  <si>
    <t>110,00</t>
  </si>
  <si>
    <t>352,5</t>
  </si>
  <si>
    <t>Иванов Владимир</t>
  </si>
  <si>
    <t>Открытая (27.05.1979)/39</t>
  </si>
  <si>
    <t>106,30</t>
  </si>
  <si>
    <t xml:space="preserve">Иванов И., Брагин А. </t>
  </si>
  <si>
    <t>Пузырев Денис</t>
  </si>
  <si>
    <t>Открытая (31.03.1974)/45</t>
  </si>
  <si>
    <t>109,30</t>
  </si>
  <si>
    <t xml:space="preserve">RUS/Серпухов </t>
  </si>
  <si>
    <t xml:space="preserve">Грудев А. </t>
  </si>
  <si>
    <t>Мастера 40-49 (31.03.1974)/45</t>
  </si>
  <si>
    <t>Макей Александр</t>
  </si>
  <si>
    <t>Мастера 50-59 (15.02.1964)/55</t>
  </si>
  <si>
    <t xml:space="preserve">BLR/Лида </t>
  </si>
  <si>
    <t>Никитин Никита</t>
  </si>
  <si>
    <t>124,30</t>
  </si>
  <si>
    <t xml:space="preserve">RUS/Псков </t>
  </si>
  <si>
    <t>Шлепин Олег</t>
  </si>
  <si>
    <t>Открытая (08.07.1975)/43</t>
  </si>
  <si>
    <t>119,10</t>
  </si>
  <si>
    <t>110,10</t>
  </si>
  <si>
    <t>Мастера 40-49 (08.07.1975)/43</t>
  </si>
  <si>
    <t>Казанцев Владимир</t>
  </si>
  <si>
    <t>Открытая (18.04.1992)/27</t>
  </si>
  <si>
    <t>372,5</t>
  </si>
  <si>
    <t>Соболевский Евгений</t>
  </si>
  <si>
    <t>Открытая (18.07.1990)/28</t>
  </si>
  <si>
    <t>135,10</t>
  </si>
  <si>
    <t>Пикляев Д.</t>
  </si>
  <si>
    <t>201,9323</t>
  </si>
  <si>
    <t>188,9325</t>
  </si>
  <si>
    <t>187,0313</t>
  </si>
  <si>
    <t>European Championship
WEPF Жим лежа в софт экипировке "Ультра"
Saint Petersburg, May 10-12, 2019</t>
  </si>
  <si>
    <t>Хованский Дмитрий</t>
  </si>
  <si>
    <t>Открытая (26.05.1986)/32</t>
  </si>
  <si>
    <t>350,0</t>
  </si>
  <si>
    <t>Быховец А.</t>
  </si>
  <si>
    <t>European Championship
WRPF Жим лежа СФО
Saint Petersburg, May 10-12, 2019</t>
  </si>
  <si>
    <t>Павлов Дмитрий</t>
  </si>
  <si>
    <t>Открытая (14.03.1986)/33</t>
  </si>
  <si>
    <t>84,75</t>
  </si>
  <si>
    <t xml:space="preserve">RUS/Алушта </t>
  </si>
  <si>
    <t xml:space="preserve">Темнеков В. </t>
  </si>
  <si>
    <t>Открытая (07.08.1958)/60</t>
  </si>
  <si>
    <t>Макаренко Константин</t>
  </si>
  <si>
    <t>Мастера 40-49 (03.02.1973)/46</t>
  </si>
  <si>
    <t>101,20</t>
  </si>
  <si>
    <t xml:space="preserve">RUS/Евпатория </t>
  </si>
  <si>
    <t>European Championship
WRPF Народный жим 1 вес ДК
Saint Petersburg, May 10-12, 2019</t>
  </si>
  <si>
    <t>Жим многоповторный</t>
  </si>
  <si>
    <t>Тоннаж</t>
  </si>
  <si>
    <t>Вес</t>
  </si>
  <si>
    <t>Повторы</t>
  </si>
  <si>
    <t>Ершов Виктор</t>
  </si>
  <si>
    <t>Мастера 50-59 (04.10.1960)/58</t>
  </si>
  <si>
    <t>57,80</t>
  </si>
  <si>
    <t xml:space="preserve">RUS/Петрозаводск </t>
  </si>
  <si>
    <t>Гогунов Антон</t>
  </si>
  <si>
    <t>Открытая (03.01.1986)/33</t>
  </si>
  <si>
    <t xml:space="preserve"> RUS/Шуя</t>
  </si>
  <si>
    <t>Земский Сергей</t>
  </si>
  <si>
    <t>Открытая (03.05.1981)/38</t>
  </si>
  <si>
    <t>Юноши 13-19 (12.07.1999)/19</t>
  </si>
  <si>
    <t>75,55</t>
  </si>
  <si>
    <t>Тен Валерий</t>
  </si>
  <si>
    <t>Мастера 50-59 (07.10.1962)/56</t>
  </si>
  <si>
    <t>Андрюхин Сергей</t>
  </si>
  <si>
    <t>Мастера 60+ (08.01.1958)/61</t>
  </si>
  <si>
    <t>86,95</t>
  </si>
  <si>
    <t>Гунченков Олег</t>
  </si>
  <si>
    <t>Открытая (19.09.1991)/27</t>
  </si>
  <si>
    <t>95,75</t>
  </si>
  <si>
    <t xml:space="preserve">Киселев С. </t>
  </si>
  <si>
    <t>Иванов Андрей</t>
  </si>
  <si>
    <t>Открытая (18.12.1983)/35</t>
  </si>
  <si>
    <t>104,40</t>
  </si>
  <si>
    <t>Сапожников Эдуард</t>
  </si>
  <si>
    <t>Мастера 50-59 (22.11.1967)/51</t>
  </si>
  <si>
    <t>109,65</t>
  </si>
  <si>
    <t>8175,0</t>
  </si>
  <si>
    <t>5634,2099</t>
  </si>
  <si>
    <t>2755,0</t>
  </si>
  <si>
    <t>1956,6010</t>
  </si>
  <si>
    <t>2887,5</t>
  </si>
  <si>
    <t>1796,4581</t>
  </si>
  <si>
    <t>European Championship
WRPF Народный жим 1 вес
Saint Petersburg, May 10-12, 2019</t>
  </si>
  <si>
    <t>Ослоповских Лидия</t>
  </si>
  <si>
    <t>Открытая (13.10.1987)/31</t>
  </si>
  <si>
    <t>Вылегжанин Александр</t>
  </si>
  <si>
    <t>Открытая (03.03.1987)/32</t>
  </si>
  <si>
    <t xml:space="preserve">  RUS/Кудрово</t>
  </si>
  <si>
    <t>Кресель Сергей</t>
  </si>
  <si>
    <t>Открытая (03.08.1980)/38</t>
  </si>
  <si>
    <t xml:space="preserve">  RUS/Великие Луки</t>
  </si>
  <si>
    <t>Дроздов А.</t>
  </si>
  <si>
    <t>Ивашин Константин</t>
  </si>
  <si>
    <t>UKR/Кривой Рог</t>
  </si>
  <si>
    <t>Штырков Евгений</t>
  </si>
  <si>
    <t>Открытая (14.12.1987)/31</t>
  </si>
  <si>
    <t>77,20</t>
  </si>
  <si>
    <t>Акимов И.</t>
  </si>
  <si>
    <t>Голотвянец Алексей</t>
  </si>
  <si>
    <t>Открытая (09.03.1989)/30</t>
  </si>
  <si>
    <t xml:space="preserve">  RUS/Москва</t>
  </si>
  <si>
    <t>Ловчиков Алексей</t>
  </si>
  <si>
    <t>Открытая (25.02.1972)/47</t>
  </si>
  <si>
    <t>84,60</t>
  </si>
  <si>
    <t xml:space="preserve"> RUS/Новый Уренгой</t>
  </si>
  <si>
    <t>Мастера 40-49 (25.02.1972)/47</t>
  </si>
  <si>
    <t>Бондаренко Юрий</t>
  </si>
  <si>
    <t>Юниоры 20-23 (24.10.1997)/21</t>
  </si>
  <si>
    <t>Мартыненко Алексей</t>
  </si>
  <si>
    <t>Открытая (05.08.1987)/31</t>
  </si>
  <si>
    <t xml:space="preserve">RUS/Шелехов </t>
  </si>
  <si>
    <t>Гилёв Роман</t>
  </si>
  <si>
    <t>Открытая (24.10.1987)/31</t>
  </si>
  <si>
    <t>Кривобоков Михаил</t>
  </si>
  <si>
    <t>Открытая (18.07.1983)/35</t>
  </si>
  <si>
    <t>91,60</t>
  </si>
  <si>
    <t>Aghayev Tural</t>
  </si>
  <si>
    <t>Открытая (24.05.1982)/36</t>
  </si>
  <si>
    <t>95,90</t>
  </si>
  <si>
    <t>Открытая (24.12.1996)/22</t>
  </si>
  <si>
    <t>4900,0</t>
  </si>
  <si>
    <t>2855,7199</t>
  </si>
  <si>
    <t>3797,5</t>
  </si>
  <si>
    <t>2558,1860</t>
  </si>
  <si>
    <t>3825,0</t>
  </si>
  <si>
    <t>2426,7713</t>
  </si>
  <si>
    <t>European Championship
WRPF Народный жим 1/2 веса ДК
Saint Petersburg, May 10-12, 2019</t>
  </si>
  <si>
    <t>Креславский Сергей</t>
  </si>
  <si>
    <t>Юноши 13-19 (04.02.2002)/17</t>
  </si>
  <si>
    <t>Майзель Д.</t>
  </si>
  <si>
    <t>European Championship
WRPF Народный жим 1/2 веса
Saint Petersburg, May 10-12, 2019</t>
  </si>
  <si>
    <t>Литвинцева Татьяна</t>
  </si>
  <si>
    <t>Мастера 50-59 (21.05.1966)/52</t>
  </si>
  <si>
    <t>Михайлов А.</t>
  </si>
  <si>
    <t>37,5</t>
  </si>
  <si>
    <t>European Championship
WRPF любители Становая тяга без экипировки ДК
Saint Petersburg, May 10-12, 2019</t>
  </si>
  <si>
    <t>Углова Ольга</t>
  </si>
  <si>
    <t>Девушки 17-19 (17.12.1999)/19</t>
  </si>
  <si>
    <t>47,40</t>
  </si>
  <si>
    <t>RUS/Всеволожск</t>
  </si>
  <si>
    <t>Борисенко Наталья</t>
  </si>
  <si>
    <t>Открытая (10.02.1994)/25</t>
  </si>
  <si>
    <t xml:space="preserve">RUS/Сертолово </t>
  </si>
  <si>
    <t xml:space="preserve">Карапетян В. </t>
  </si>
  <si>
    <t>Герман Юлия</t>
  </si>
  <si>
    <t>Открытая (28.12.1992)/26</t>
  </si>
  <si>
    <t>51,00</t>
  </si>
  <si>
    <t>Добрякова Светлана</t>
  </si>
  <si>
    <t>Мастера 40-49 (22.09.1975)/43</t>
  </si>
  <si>
    <t>51,60</t>
  </si>
  <si>
    <t>Балабатько Оксана</t>
  </si>
  <si>
    <t>Девушки 14-16 (24.01.2005)/14</t>
  </si>
  <si>
    <t>54,90</t>
  </si>
  <si>
    <t>Кучмарева Ирина</t>
  </si>
  <si>
    <t>Девушки 14-16 (11.05.2002)/17</t>
  </si>
  <si>
    <t xml:space="preserve">Барановская Н. </t>
  </si>
  <si>
    <t>Бузыгина Алина</t>
  </si>
  <si>
    <t>Открытая (19.03.1993)/26</t>
  </si>
  <si>
    <t>53,20</t>
  </si>
  <si>
    <t>Ежова Кристина</t>
  </si>
  <si>
    <t>Открытая (26.03.1990)/29</t>
  </si>
  <si>
    <t>Данилова Марина</t>
  </si>
  <si>
    <t>Открытая (04.02.1986)/33</t>
  </si>
  <si>
    <t>67,50</t>
  </si>
  <si>
    <t>Наточина Елена</t>
  </si>
  <si>
    <t>Мастера 40-49 (23.07.1972)/46</t>
  </si>
  <si>
    <t>73,70</t>
  </si>
  <si>
    <t xml:space="preserve">Газзаев М. </t>
  </si>
  <si>
    <t>Голиков Роман</t>
  </si>
  <si>
    <t>Юноши 17-19 (19.06.2000)/18</t>
  </si>
  <si>
    <t xml:space="preserve">Агапов Д. </t>
  </si>
  <si>
    <t>Шубин Александр</t>
  </si>
  <si>
    <t>Открытая (22.04.1994)/25</t>
  </si>
  <si>
    <t xml:space="preserve">Богачев И. </t>
  </si>
  <si>
    <t>Филиппов Геннадий</t>
  </si>
  <si>
    <t>Мастера 70-79 (23.04.1947)/72</t>
  </si>
  <si>
    <t>70,80</t>
  </si>
  <si>
    <t>Открытая (20.08.1996)/22</t>
  </si>
  <si>
    <t>Скворцов Сергей</t>
  </si>
  <si>
    <t>Открытая (17.12.1980)/38</t>
  </si>
  <si>
    <t>Марченко Эдуард</t>
  </si>
  <si>
    <t>Открытая (17.03.1992)/27</t>
  </si>
  <si>
    <t>Гордополов Максим</t>
  </si>
  <si>
    <t>Открытая (24.09.1987)/31</t>
  </si>
  <si>
    <t>Атоян Грант</t>
  </si>
  <si>
    <t>Мастера 40-49 (02.04.1976)/43</t>
  </si>
  <si>
    <t>Абаев В.</t>
  </si>
  <si>
    <t>Недялков Василий</t>
  </si>
  <si>
    <t>Открытая (30.06.1990)/28</t>
  </si>
  <si>
    <t>109,00</t>
  </si>
  <si>
    <t>Милин И.</t>
  </si>
  <si>
    <t>Самарин Лев</t>
  </si>
  <si>
    <t>Открытая (28.05.1983)/35</t>
  </si>
  <si>
    <t>135,50</t>
  </si>
  <si>
    <t xml:space="preserve">Комков А. </t>
  </si>
  <si>
    <t>Селезнев Станислав</t>
  </si>
  <si>
    <t>Открытая (31.08.1981)/37</t>
  </si>
  <si>
    <t>161,40</t>
  </si>
  <si>
    <t>56</t>
  </si>
  <si>
    <t>162,2860</t>
  </si>
  <si>
    <t>149,3600</t>
  </si>
  <si>
    <t>52</t>
  </si>
  <si>
    <t>138,3580</t>
  </si>
  <si>
    <t>169,2405</t>
  </si>
  <si>
    <t>168,8785</t>
  </si>
  <si>
    <t>166,4820</t>
  </si>
  <si>
    <t xml:space="preserve">Мастера 70-79 </t>
  </si>
  <si>
    <t>204,9937</t>
  </si>
  <si>
    <t>191,9511</t>
  </si>
  <si>
    <t>186,7084</t>
  </si>
  <si>
    <t>European Championship
WRPF любители Становая тяга без экипировки
Saint Petersburg, May 10-12, 2019</t>
  </si>
  <si>
    <t>Галактионова Маргарита</t>
  </si>
  <si>
    <t>Открытая (01.03.1991)/28</t>
  </si>
  <si>
    <t>Gurbanova Adila</t>
  </si>
  <si>
    <t>Открытая (19.04.1990)/29</t>
  </si>
  <si>
    <t>65,90</t>
  </si>
  <si>
    <t>Aliyev T.</t>
  </si>
  <si>
    <t>Федоренко Ольга</t>
  </si>
  <si>
    <t>Открытая (30.06.1986)/32</t>
  </si>
  <si>
    <t xml:space="preserve">Абиджба Р. </t>
  </si>
  <si>
    <t>Шелинговская Ирина</t>
  </si>
  <si>
    <t>Мастера 50-59 (05.03.1963)/56</t>
  </si>
  <si>
    <t>Gadolin Natalia</t>
  </si>
  <si>
    <t>Открытая (04.01.1994)/25</t>
  </si>
  <si>
    <t>Finland</t>
  </si>
  <si>
    <t xml:space="preserve">FIN/Хельсинки </t>
  </si>
  <si>
    <t>Someroja J.</t>
  </si>
  <si>
    <t>Гаджиахмедов Далгат</t>
  </si>
  <si>
    <t>Открытая (18.06.1987)/31</t>
  </si>
  <si>
    <t>71,00</t>
  </si>
  <si>
    <t>Гаджиахмедова Э.</t>
  </si>
  <si>
    <t>Седляр Леонид</t>
  </si>
  <si>
    <t>Мастера 40-49 (31.01.1973)/46</t>
  </si>
  <si>
    <t>Веселов А.</t>
  </si>
  <si>
    <t>Строченков Юлиан</t>
  </si>
  <si>
    <t>Юноши 17-19 (07.10.1999)/19</t>
  </si>
  <si>
    <t>76,90</t>
  </si>
  <si>
    <t xml:space="preserve">RUS/Гагарин </t>
  </si>
  <si>
    <t>Соколов А.</t>
  </si>
  <si>
    <t>Открытая (07.10.1999)/19</t>
  </si>
  <si>
    <t xml:space="preserve"> RUS/Липецк</t>
  </si>
  <si>
    <t>Сидин Антон</t>
  </si>
  <si>
    <t>Открытая (24.04.1988)/31</t>
  </si>
  <si>
    <t>80,50</t>
  </si>
  <si>
    <t>Захаров Александр</t>
  </si>
  <si>
    <t>Открытая (01.11.1991)/27</t>
  </si>
  <si>
    <t xml:space="preserve">KAZ/Петропавловск </t>
  </si>
  <si>
    <t>Тимофеев Дмитрий</t>
  </si>
  <si>
    <t>Открытая (21.02.1987)/32</t>
  </si>
  <si>
    <t>87,90</t>
  </si>
  <si>
    <t>Азизмамадов Константин</t>
  </si>
  <si>
    <t>Открытая (17.03.1985)/34</t>
  </si>
  <si>
    <t xml:space="preserve">RUS/Ржев </t>
  </si>
  <si>
    <t>Бахметьев Антон</t>
  </si>
  <si>
    <t>Открытая (03.12.1992)/26</t>
  </si>
  <si>
    <t>Дубков Дмитрий</t>
  </si>
  <si>
    <t>Открытая (29.01.1980)/39</t>
  </si>
  <si>
    <t>Астахов Д.</t>
  </si>
  <si>
    <t>Белов Станислав</t>
  </si>
  <si>
    <t>Открытая (11.11.1990)/28</t>
  </si>
  <si>
    <t>90,80</t>
  </si>
  <si>
    <t>Вербицкий Михаил</t>
  </si>
  <si>
    <t>Мастера 60-69 (31.07.1951)/67</t>
  </si>
  <si>
    <t>BLR/Минск</t>
  </si>
  <si>
    <t>Васев Александр</t>
  </si>
  <si>
    <t>Открытая (26.04.1991)/28</t>
  </si>
  <si>
    <t>104,90</t>
  </si>
  <si>
    <t>Пыжьянов Игорь</t>
  </si>
  <si>
    <t xml:space="preserve">Макей А. </t>
  </si>
  <si>
    <t>Москвичёв Алексей</t>
  </si>
  <si>
    <t>Открытая (02.03.1982)/37</t>
  </si>
  <si>
    <t>115,40</t>
  </si>
  <si>
    <t xml:space="preserve">RUS/Саратов </t>
  </si>
  <si>
    <t>365,0</t>
  </si>
  <si>
    <t>392,5</t>
  </si>
  <si>
    <t>Вовенко Александр</t>
  </si>
  <si>
    <t>Открытая (25.11.1980)/38</t>
  </si>
  <si>
    <t>345,0</t>
  </si>
  <si>
    <t xml:space="preserve">Седнев Д. </t>
  </si>
  <si>
    <t>Иванов Евгений</t>
  </si>
  <si>
    <t>Открытая (13.06.1973)/45</t>
  </si>
  <si>
    <t>141,30</t>
  </si>
  <si>
    <t xml:space="preserve">RUS/Намцы </t>
  </si>
  <si>
    <t>305,5</t>
  </si>
  <si>
    <t>Мастера 40-49 (13.06.1973)/45</t>
  </si>
  <si>
    <t>220,5900</t>
  </si>
  <si>
    <t>219,7420</t>
  </si>
  <si>
    <t>215,2080</t>
  </si>
  <si>
    <t>European Championship
WEPF любители Становая тяга в экипировке
Saint Petersburg, May 10-12, 2019</t>
  </si>
  <si>
    <t>Печерская Елена</t>
  </si>
  <si>
    <t>Открытая (08.02.1991)/28</t>
  </si>
  <si>
    <t>72,30</t>
  </si>
  <si>
    <t>Открытая (05.03.1963)/56</t>
  </si>
  <si>
    <t>Doychev Vaselin</t>
  </si>
  <si>
    <t>Открытая (14.04.1985)/34</t>
  </si>
  <si>
    <t>105,70</t>
  </si>
  <si>
    <t xml:space="preserve">Bulgaria </t>
  </si>
  <si>
    <t xml:space="preserve">Doycheva A. </t>
  </si>
  <si>
    <t>European Championship
WRPF Строгий подъем штанги на бицепс
Saint Petersburg, May 10-12, 2019</t>
  </si>
  <si>
    <t>Подъем на бицепс</t>
  </si>
  <si>
    <t>Беликов Николай</t>
  </si>
  <si>
    <t>Открытая (14.09.1990)/28</t>
  </si>
  <si>
    <t>UKR/Донецк</t>
  </si>
  <si>
    <t>Кирилюк Дмитрий</t>
  </si>
  <si>
    <t>Открытая (25.02.1967)/52</t>
  </si>
  <si>
    <t>66,60</t>
  </si>
  <si>
    <t>Мастера 50-59 (25.02.1967)/52</t>
  </si>
  <si>
    <t>Виноградов Артем</t>
  </si>
  <si>
    <t>Юноши 13-19 (16.03.2000)/19</t>
  </si>
  <si>
    <t>71,80</t>
  </si>
  <si>
    <t>Дреев Азамат</t>
  </si>
  <si>
    <t>Открытая (16.04.1992)/27</t>
  </si>
  <si>
    <t>74,70</t>
  </si>
  <si>
    <t>RUS/Владикавказ</t>
  </si>
  <si>
    <t>Фокин Андрей</t>
  </si>
  <si>
    <t>Открытая (21.05.1973)/45</t>
  </si>
  <si>
    <t>74,30</t>
  </si>
  <si>
    <t>Мастера 40-49 (21.05.1973)/45</t>
  </si>
  <si>
    <t>Мальцев Александр</t>
  </si>
  <si>
    <t>Открытая (23.09.1986)/32</t>
  </si>
  <si>
    <t>Гришеленок Станислав</t>
  </si>
  <si>
    <t>Открытая (14.11.1983)/35</t>
  </si>
  <si>
    <t>Булюсин Олег</t>
  </si>
  <si>
    <t>Мастера 50-59 (09.11.1967)/51</t>
  </si>
  <si>
    <t>Наумов Владислав</t>
  </si>
  <si>
    <t>Юноши 13-19 (01.10.2001)/17</t>
  </si>
  <si>
    <t xml:space="preserve">RUS/Иваново </t>
  </si>
  <si>
    <t>Махалов Артём</t>
  </si>
  <si>
    <t>Открытая (23.04.1992)/27</t>
  </si>
  <si>
    <t xml:space="preserve"> RUS/Псков</t>
  </si>
  <si>
    <t>Пименов Павел</t>
  </si>
  <si>
    <t>Открытая (13.11.1986)/32</t>
  </si>
  <si>
    <t>Ефимовский Владислав</t>
  </si>
  <si>
    <t>Открытая (06.04.1982)/37</t>
  </si>
  <si>
    <t>Скольский Сергей</t>
  </si>
  <si>
    <t>Юниоры 20-23 (06.06.1995)/23</t>
  </si>
  <si>
    <t>95,40</t>
  </si>
  <si>
    <t>Рояко Виктор</t>
  </si>
  <si>
    <t>Открытая (10.05.1983)/36</t>
  </si>
  <si>
    <t>91,0</t>
  </si>
  <si>
    <t>Открытая (06.06.1995)/23</t>
  </si>
  <si>
    <t>99,10</t>
  </si>
  <si>
    <t>Владимиров Дмитрий</t>
  </si>
  <si>
    <t>Открытая (21.08.1988)/30</t>
  </si>
  <si>
    <t>Raudsepp Mati</t>
  </si>
  <si>
    <t>Мастера 40-49 (24.07.1970)/48</t>
  </si>
  <si>
    <t>EST/Valga</t>
  </si>
  <si>
    <t>Жемаркин Дмитрий</t>
  </si>
  <si>
    <t>Юниоры 20-23 (29.01.1997)/22</t>
  </si>
  <si>
    <t>124,70</t>
  </si>
  <si>
    <t>Открытая (29.01.1997)/22</t>
  </si>
  <si>
    <t>55,9394</t>
  </si>
  <si>
    <t>49,9400</t>
  </si>
  <si>
    <t>67.5</t>
  </si>
  <si>
    <t>49,8583</t>
  </si>
  <si>
    <t>European Championship
WAF Rolling Thunder
Saint Petersburg, May 10-12, 2019</t>
  </si>
  <si>
    <t>Тяга</t>
  </si>
  <si>
    <t>ВЕСОВАЯ КАТЕГОРИЯ   80</t>
  </si>
  <si>
    <t>Птицын Вячеслав</t>
  </si>
  <si>
    <t>Открытая (22.08.1983)/35</t>
  </si>
  <si>
    <t xml:space="preserve">RUS/Владивосток </t>
  </si>
  <si>
    <t>74,0</t>
  </si>
  <si>
    <t>79,0</t>
  </si>
  <si>
    <t>82,0</t>
  </si>
  <si>
    <t>Миронов Андрей</t>
  </si>
  <si>
    <t>Открытая (21.05.1991)/27</t>
  </si>
  <si>
    <t xml:space="preserve"> RUS/Нефтеюганск</t>
  </si>
  <si>
    <t>Маликов Александр</t>
  </si>
  <si>
    <t>Открытая (21.12.1972)/46</t>
  </si>
  <si>
    <t>103,60</t>
  </si>
  <si>
    <t>71,5</t>
  </si>
  <si>
    <t>76,5</t>
  </si>
  <si>
    <t>Открытая (24.07.1970)/48</t>
  </si>
  <si>
    <t>69,0</t>
  </si>
  <si>
    <t>European Championship
WAF Apollon`s Axle
Saint Petersburg, May 10-12, 2019</t>
  </si>
  <si>
    <t>Табанакова Татьяна</t>
  </si>
  <si>
    <t>Мастера 50-59 (27.09.1964)/54</t>
  </si>
  <si>
    <t>61,50</t>
  </si>
  <si>
    <t>Васильев Владислав</t>
  </si>
  <si>
    <t>Открытая (10.09.1994)/24</t>
  </si>
  <si>
    <t>94,90</t>
  </si>
  <si>
    <t>ВЕСОВАЯ КАТЕГОРИЯ   125+</t>
  </si>
  <si>
    <t>208,0</t>
  </si>
  <si>
    <t>European Championship
WAF Excalibur
Saint Petersburg, May 10-12, 2019</t>
  </si>
  <si>
    <t>European Championship
WAF Two handed pinch grip block
Saint Petersburg, May 10-12, 2019</t>
  </si>
  <si>
    <t>Кулагина Анжела</t>
  </si>
  <si>
    <t>Открытая (04.11.1988)/30</t>
  </si>
  <si>
    <t>65,50</t>
  </si>
  <si>
    <t>48,5</t>
  </si>
  <si>
    <t>51,0</t>
  </si>
  <si>
    <t>53,5</t>
  </si>
  <si>
    <t>26,0</t>
  </si>
  <si>
    <t>31,0</t>
  </si>
  <si>
    <t>36,0</t>
  </si>
  <si>
    <t>56,0</t>
  </si>
  <si>
    <t>61,0</t>
  </si>
  <si>
    <t>66,0</t>
  </si>
  <si>
    <t>81,0</t>
  </si>
  <si>
    <t>86,0</t>
  </si>
  <si>
    <t>European Championship
WAF Hub
Saint Petersburg, May 10-12, 2019</t>
  </si>
  <si>
    <t>20,0</t>
  </si>
  <si>
    <t>22,5</t>
  </si>
  <si>
    <t>Худяков Владимир</t>
  </si>
  <si>
    <t>Открытая (11.06.1984)/34</t>
  </si>
  <si>
    <t>76,10</t>
  </si>
  <si>
    <t xml:space="preserve"> RUS/Ярославль</t>
  </si>
  <si>
    <t>31,3</t>
  </si>
  <si>
    <t>35,0</t>
  </si>
  <si>
    <t>Еганов Сергей</t>
  </si>
  <si>
    <t>Открытая (28.08.1984)/34</t>
  </si>
  <si>
    <t>78,70</t>
  </si>
  <si>
    <t>32,5</t>
  </si>
  <si>
    <t>Радько Степан</t>
  </si>
  <si>
    <t>Открытая (07.11.1990)/28</t>
  </si>
  <si>
    <t>33,8</t>
  </si>
  <si>
    <t>34,3</t>
  </si>
  <si>
    <t>Фаустов Александр</t>
  </si>
  <si>
    <t>Открытая (21.02.1976)/43</t>
  </si>
  <si>
    <t>107,20</t>
  </si>
  <si>
    <t>European Championship
WAF Silver Bullet
Saint Petersburg, May 10-12, 2019</t>
  </si>
  <si>
    <t>Середич Александр</t>
  </si>
  <si>
    <t>Открытая (02.01.1984)/35</t>
  </si>
  <si>
    <t>90,30</t>
  </si>
  <si>
    <t xml:space="preserve"> BLR/Бобруйск</t>
  </si>
  <si>
    <t>30сек.</t>
  </si>
  <si>
    <t>39сек</t>
  </si>
  <si>
    <t xml:space="preserve">Estonia </t>
  </si>
  <si>
    <t>10сек.</t>
  </si>
  <si>
    <t>European Championship
WAF Saxon bar deadlift
Saint Petersburg, May 10-12, 2019</t>
  </si>
  <si>
    <t>Подрядчик Юлия</t>
  </si>
  <si>
    <t>Открытая (10.08.1988)/30</t>
  </si>
  <si>
    <t>Командное первенство Чемпионата Европы WRPF/WEPF/WAF 2019</t>
  </si>
  <si>
    <t>1 место</t>
  </si>
  <si>
    <t>Россия</t>
  </si>
  <si>
    <t>2 место</t>
  </si>
  <si>
    <t>Азербайджан</t>
  </si>
  <si>
    <t>3 место</t>
  </si>
  <si>
    <t>Беларусь</t>
  </si>
  <si>
    <t>Малый командный зачет</t>
  </si>
  <si>
    <t>Fitness Life Kudrovo</t>
  </si>
  <si>
    <t>PROкачка 1520 Тихвин</t>
  </si>
  <si>
    <t>Сборная Соснового бора</t>
  </si>
  <si>
    <t>Судеская коллегия Чемпионата Европы WRPF/WEPF/WAF 2019</t>
  </si>
  <si>
    <t>Главный судья соревнований:</t>
  </si>
  <si>
    <t>Длужневская Эльвира/ МК, Вологда</t>
  </si>
  <si>
    <t>Главный секретарь соревнований:</t>
  </si>
  <si>
    <t>Новиков Степан/ МК, Вологда</t>
  </si>
  <si>
    <t>Секретари:</t>
  </si>
  <si>
    <t>Ермолаева Дарья/ РК, Санкт-Петербург</t>
  </si>
  <si>
    <t>Сивакова Валерия/ Москва</t>
  </si>
  <si>
    <t>Шумкова Анастасия/ РК, Нижний Новгород</t>
  </si>
  <si>
    <t>Чарикова Анастасия/ Воронеж</t>
  </si>
  <si>
    <t>Стафеева Ангелина/ Петрозаводск</t>
  </si>
  <si>
    <t>Судьи:</t>
  </si>
  <si>
    <t>Ляшенко Александр/ МК, Санкт-Петербург</t>
  </si>
  <si>
    <t>Кузнецова Оксана/ МК, Санкт-Петербург</t>
  </si>
  <si>
    <t>Кузнецов Руслан/ НК, Вологда</t>
  </si>
  <si>
    <t>Вахрушев Александр/ РК, Вологда</t>
  </si>
  <si>
    <t>Рябинников Олег/ НК, Москва</t>
  </si>
  <si>
    <t>Лутченко Екатерина/ РК, Санкт-Петербург</t>
  </si>
  <si>
    <t>Бекетов Павел/ РК, Санкт-Петербург</t>
  </si>
  <si>
    <t>Руруа Тариел/ РК, Петрозаводск</t>
  </si>
  <si>
    <t>Макаров Александр/ РК, Москва</t>
  </si>
  <si>
    <t>Тимаков Евгений/ РК, Санкт-Петербург</t>
  </si>
  <si>
    <t>Шевелева Екатерина/ РК, Воронеж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</si>
</sst>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b/>
      <sz val="10"/>
      <color rgb="FFFF0000"/>
      <name val="Arial Cyr"/>
      <charset val="204"/>
    </font>
    <font>
      <sz val="18"/>
      <name val="Arial Cyr"/>
      <charset val="204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49" fontId="9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101"/>
  <sheetViews>
    <sheetView tabSelected="1" workbookViewId="0">
      <selection sqref="A1:V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85546875" style="5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2" style="5" customWidth="1"/>
    <col min="8" max="10" width="5.42578125" style="6" bestFit="1" customWidth="1"/>
    <col min="11" max="11" width="4.85546875" style="6" bestFit="1" customWidth="1"/>
    <col min="12" max="14" width="5.42578125" style="6" bestFit="1" customWidth="1"/>
    <col min="15" max="15" width="4.85546875" style="6" bestFit="1" customWidth="1"/>
    <col min="16" max="18" width="5.42578125" style="6" bestFit="1" customWidth="1"/>
    <col min="19" max="19" width="4.85546875" style="6" bestFit="1" customWidth="1"/>
    <col min="20" max="20" width="7.85546875" style="30" bestFit="1" customWidth="1"/>
    <col min="21" max="21" width="8.42578125" style="6" bestFit="1" customWidth="1"/>
    <col min="22" max="22" width="27.42578125" style="5" bestFit="1" customWidth="1"/>
    <col min="23" max="16384" width="9.140625" style="3"/>
  </cols>
  <sheetData>
    <row r="1" spans="1:22" s="2" customFormat="1" ht="29.1" customHeight="1" x14ac:dyDescent="0.2">
      <c r="A1" s="83" t="s">
        <v>0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</row>
    <row r="2" spans="1:2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/>
      <c r="J3" s="94"/>
      <c r="K3" s="94"/>
      <c r="L3" s="94" t="s">
        <v>9</v>
      </c>
      <c r="M3" s="94"/>
      <c r="N3" s="94"/>
      <c r="O3" s="94"/>
      <c r="P3" s="94" t="s">
        <v>10</v>
      </c>
      <c r="Q3" s="94"/>
      <c r="R3" s="94"/>
      <c r="S3" s="94"/>
      <c r="T3" s="97" t="s">
        <v>11</v>
      </c>
      <c r="U3" s="94" t="s">
        <v>12</v>
      </c>
      <c r="V3" s="77" t="s">
        <v>13</v>
      </c>
    </row>
    <row r="4" spans="1:22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74">
        <v>1</v>
      </c>
      <c r="M4" s="74">
        <v>2</v>
      </c>
      <c r="N4" s="74">
        <v>3</v>
      </c>
      <c r="O4" s="74" t="s">
        <v>14</v>
      </c>
      <c r="P4" s="74">
        <v>1</v>
      </c>
      <c r="Q4" s="74">
        <v>2</v>
      </c>
      <c r="R4" s="74">
        <v>3</v>
      </c>
      <c r="S4" s="74" t="s">
        <v>14</v>
      </c>
      <c r="T4" s="98"/>
      <c r="U4" s="93"/>
      <c r="V4" s="78"/>
    </row>
    <row r="5" spans="1:22" ht="15" x14ac:dyDescent="0.2">
      <c r="A5" s="79" t="s">
        <v>15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2" x14ac:dyDescent="0.2">
      <c r="A6" s="14" t="s">
        <v>16</v>
      </c>
      <c r="B6" s="11" t="s">
        <v>17</v>
      </c>
      <c r="C6" s="11" t="s">
        <v>18</v>
      </c>
      <c r="D6" s="11" t="s">
        <v>19</v>
      </c>
      <c r="E6" s="11" t="str">
        <f>"1,4936"</f>
        <v>1,4936</v>
      </c>
      <c r="F6" s="11" t="s">
        <v>20</v>
      </c>
      <c r="G6" s="11" t="s">
        <v>21</v>
      </c>
      <c r="H6" s="13" t="s">
        <v>22</v>
      </c>
      <c r="I6" s="13" t="s">
        <v>23</v>
      </c>
      <c r="J6" s="12" t="s">
        <v>24</v>
      </c>
      <c r="K6" s="14"/>
      <c r="L6" s="13" t="s">
        <v>25</v>
      </c>
      <c r="M6" s="13" t="s">
        <v>26</v>
      </c>
      <c r="N6" s="12" t="s">
        <v>27</v>
      </c>
      <c r="O6" s="14"/>
      <c r="P6" s="13" t="s">
        <v>28</v>
      </c>
      <c r="Q6" s="13" t="s">
        <v>29</v>
      </c>
      <c r="R6" s="13" t="s">
        <v>30</v>
      </c>
      <c r="S6" s="14"/>
      <c r="T6" s="28" t="str">
        <f>"220,0"</f>
        <v>220,0</v>
      </c>
      <c r="U6" s="14" t="str">
        <f>"328,5920"</f>
        <v>328,5920</v>
      </c>
      <c r="V6" s="11" t="s">
        <v>31</v>
      </c>
    </row>
    <row r="7" spans="1:22" x14ac:dyDescent="0.2">
      <c r="A7" s="21" t="s">
        <v>16</v>
      </c>
      <c r="B7" s="19" t="s">
        <v>32</v>
      </c>
      <c r="C7" s="19" t="s">
        <v>33</v>
      </c>
      <c r="D7" s="19" t="s">
        <v>19</v>
      </c>
      <c r="E7" s="19" t="str">
        <f>"1,4936"</f>
        <v>1,4936</v>
      </c>
      <c r="F7" s="19" t="s">
        <v>20</v>
      </c>
      <c r="G7" s="19" t="s">
        <v>21</v>
      </c>
      <c r="H7" s="22" t="s">
        <v>34</v>
      </c>
      <c r="I7" s="20" t="s">
        <v>34</v>
      </c>
      <c r="J7" s="22" t="s">
        <v>35</v>
      </c>
      <c r="K7" s="21"/>
      <c r="L7" s="20" t="s">
        <v>36</v>
      </c>
      <c r="M7" s="22" t="s">
        <v>25</v>
      </c>
      <c r="N7" s="20" t="s">
        <v>25</v>
      </c>
      <c r="O7" s="21"/>
      <c r="P7" s="20" t="s">
        <v>35</v>
      </c>
      <c r="Q7" s="20" t="s">
        <v>29</v>
      </c>
      <c r="R7" s="22" t="s">
        <v>37</v>
      </c>
      <c r="S7" s="21"/>
      <c r="T7" s="29" t="str">
        <f>"207,5"</f>
        <v>207,5</v>
      </c>
      <c r="U7" s="21" t="str">
        <f>"311,4716"</f>
        <v>311,4716</v>
      </c>
      <c r="V7" s="19" t="s">
        <v>31</v>
      </c>
    </row>
    <row r="8" spans="1:22" x14ac:dyDescent="0.2">
      <c r="B8" s="5" t="s">
        <v>38</v>
      </c>
    </row>
    <row r="9" spans="1:22" ht="15" x14ac:dyDescent="0.2">
      <c r="A9" s="81" t="s">
        <v>39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2" x14ac:dyDescent="0.2">
      <c r="A10" s="10" t="s">
        <v>16</v>
      </c>
      <c r="B10" s="7" t="s">
        <v>40</v>
      </c>
      <c r="C10" s="7" t="s">
        <v>41</v>
      </c>
      <c r="D10" s="7" t="s">
        <v>42</v>
      </c>
      <c r="E10" s="7" t="str">
        <f>"1,2730"</f>
        <v>1,2730</v>
      </c>
      <c r="F10" s="7" t="s">
        <v>20</v>
      </c>
      <c r="G10" s="7" t="s">
        <v>43</v>
      </c>
      <c r="H10" s="8" t="s">
        <v>35</v>
      </c>
      <c r="I10" s="9" t="s">
        <v>24</v>
      </c>
      <c r="J10" s="9" t="s">
        <v>24</v>
      </c>
      <c r="K10" s="10"/>
      <c r="L10" s="8" t="s">
        <v>44</v>
      </c>
      <c r="M10" s="9" t="s">
        <v>45</v>
      </c>
      <c r="N10" s="9" t="s">
        <v>45</v>
      </c>
      <c r="O10" s="10"/>
      <c r="P10" s="8" t="s">
        <v>35</v>
      </c>
      <c r="Q10" s="8" t="s">
        <v>24</v>
      </c>
      <c r="R10" s="8" t="s">
        <v>46</v>
      </c>
      <c r="S10" s="10"/>
      <c r="T10" s="31" t="str">
        <f>"227,5"</f>
        <v>227,5</v>
      </c>
      <c r="U10" s="10" t="str">
        <f>"289,6075"</f>
        <v>289,6075</v>
      </c>
      <c r="V10" s="7" t="s">
        <v>47</v>
      </c>
    </row>
    <row r="11" spans="1:22" x14ac:dyDescent="0.2">
      <c r="B11" s="5" t="s">
        <v>38</v>
      </c>
    </row>
    <row r="12" spans="1:22" ht="15" x14ac:dyDescent="0.2">
      <c r="A12" s="81" t="s">
        <v>48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2" x14ac:dyDescent="0.2">
      <c r="A13" s="14" t="s">
        <v>16</v>
      </c>
      <c r="B13" s="11" t="s">
        <v>49</v>
      </c>
      <c r="C13" s="11" t="s">
        <v>50</v>
      </c>
      <c r="D13" s="11" t="s">
        <v>51</v>
      </c>
      <c r="E13" s="11" t="str">
        <f>"1,1149"</f>
        <v>1,1149</v>
      </c>
      <c r="F13" s="11" t="s">
        <v>20</v>
      </c>
      <c r="G13" s="11" t="s">
        <v>52</v>
      </c>
      <c r="H13" s="13" t="s">
        <v>53</v>
      </c>
      <c r="I13" s="13" t="s">
        <v>30</v>
      </c>
      <c r="J13" s="12" t="s">
        <v>37</v>
      </c>
      <c r="K13" s="14"/>
      <c r="L13" s="13" t="s">
        <v>54</v>
      </c>
      <c r="M13" s="13" t="s">
        <v>55</v>
      </c>
      <c r="N13" s="12" t="s">
        <v>56</v>
      </c>
      <c r="O13" s="14"/>
      <c r="P13" s="13" t="s">
        <v>57</v>
      </c>
      <c r="Q13" s="12" t="s">
        <v>58</v>
      </c>
      <c r="R13" s="12" t="s">
        <v>58</v>
      </c>
      <c r="S13" s="14"/>
      <c r="T13" s="28" t="str">
        <f>"282,5"</f>
        <v>282,5</v>
      </c>
      <c r="U13" s="14" t="str">
        <f>"314,9592"</f>
        <v>314,9592</v>
      </c>
      <c r="V13" s="11" t="s">
        <v>59</v>
      </c>
    </row>
    <row r="14" spans="1:22" x14ac:dyDescent="0.2">
      <c r="A14" s="17" t="s">
        <v>60</v>
      </c>
      <c r="B14" s="15" t="s">
        <v>61</v>
      </c>
      <c r="C14" s="15" t="s">
        <v>62</v>
      </c>
      <c r="D14" s="15" t="s">
        <v>63</v>
      </c>
      <c r="E14" s="15" t="str">
        <f>"1,1636"</f>
        <v>1,1636</v>
      </c>
      <c r="F14" s="15" t="s">
        <v>20</v>
      </c>
      <c r="G14" s="15" t="s">
        <v>21</v>
      </c>
      <c r="H14" s="16" t="s">
        <v>23</v>
      </c>
      <c r="I14" s="16" t="s">
        <v>35</v>
      </c>
      <c r="J14" s="16" t="s">
        <v>24</v>
      </c>
      <c r="K14" s="17"/>
      <c r="L14" s="18" t="s">
        <v>36</v>
      </c>
      <c r="M14" s="18" t="s">
        <v>36</v>
      </c>
      <c r="N14" s="16" t="s">
        <v>36</v>
      </c>
      <c r="O14" s="17"/>
      <c r="P14" s="16" t="s">
        <v>64</v>
      </c>
      <c r="Q14" s="16" t="s">
        <v>46</v>
      </c>
      <c r="R14" s="16" t="s">
        <v>30</v>
      </c>
      <c r="S14" s="17"/>
      <c r="T14" s="32" t="str">
        <f>"225,0"</f>
        <v>225,0</v>
      </c>
      <c r="U14" s="17" t="str">
        <f>"261,8100"</f>
        <v>261,8100</v>
      </c>
      <c r="V14" s="15" t="s">
        <v>31</v>
      </c>
    </row>
    <row r="15" spans="1:22" x14ac:dyDescent="0.2">
      <c r="A15" s="17" t="s">
        <v>65</v>
      </c>
      <c r="B15" s="15" t="s">
        <v>66</v>
      </c>
      <c r="C15" s="15" t="s">
        <v>67</v>
      </c>
      <c r="D15" s="15" t="s">
        <v>68</v>
      </c>
      <c r="E15" s="15" t="str">
        <f>"1,1371"</f>
        <v>1,1371</v>
      </c>
      <c r="F15" s="15" t="s">
        <v>20</v>
      </c>
      <c r="G15" s="15" t="s">
        <v>69</v>
      </c>
      <c r="H15" s="16" t="s">
        <v>44</v>
      </c>
      <c r="I15" s="16" t="s">
        <v>55</v>
      </c>
      <c r="J15" s="16" t="s">
        <v>34</v>
      </c>
      <c r="K15" s="17"/>
      <c r="L15" s="16" t="s">
        <v>26</v>
      </c>
      <c r="M15" s="16" t="s">
        <v>44</v>
      </c>
      <c r="N15" s="18" t="s">
        <v>70</v>
      </c>
      <c r="O15" s="17"/>
      <c r="P15" s="16" t="s">
        <v>35</v>
      </c>
      <c r="Q15" s="18" t="s">
        <v>53</v>
      </c>
      <c r="R15" s="16" t="s">
        <v>53</v>
      </c>
      <c r="S15" s="17"/>
      <c r="T15" s="32" t="str">
        <f>"210,0"</f>
        <v>210,0</v>
      </c>
      <c r="U15" s="17" t="str">
        <f>"238,7910"</f>
        <v>238,7910</v>
      </c>
      <c r="V15" s="15" t="s">
        <v>71</v>
      </c>
    </row>
    <row r="16" spans="1:22" x14ac:dyDescent="0.2">
      <c r="A16" s="21" t="s">
        <v>16</v>
      </c>
      <c r="B16" s="19" t="s">
        <v>49</v>
      </c>
      <c r="C16" s="19" t="s">
        <v>72</v>
      </c>
      <c r="D16" s="19" t="s">
        <v>51</v>
      </c>
      <c r="E16" s="19" t="str">
        <f>"1,1149"</f>
        <v>1,1149</v>
      </c>
      <c r="F16" s="19" t="s">
        <v>20</v>
      </c>
      <c r="G16" s="19" t="s">
        <v>52</v>
      </c>
      <c r="H16" s="20" t="s">
        <v>53</v>
      </c>
      <c r="I16" s="20" t="s">
        <v>30</v>
      </c>
      <c r="J16" s="22" t="s">
        <v>37</v>
      </c>
      <c r="K16" s="21"/>
      <c r="L16" s="20" t="s">
        <v>54</v>
      </c>
      <c r="M16" s="20" t="s">
        <v>55</v>
      </c>
      <c r="N16" s="22" t="s">
        <v>56</v>
      </c>
      <c r="O16" s="21"/>
      <c r="P16" s="20" t="s">
        <v>57</v>
      </c>
      <c r="Q16" s="22" t="s">
        <v>58</v>
      </c>
      <c r="R16" s="22" t="s">
        <v>58</v>
      </c>
      <c r="S16" s="21"/>
      <c r="T16" s="29" t="str">
        <f>"282,5"</f>
        <v>282,5</v>
      </c>
      <c r="U16" s="21" t="str">
        <f>"319,3687"</f>
        <v>319,3687</v>
      </c>
      <c r="V16" s="19" t="s">
        <v>59</v>
      </c>
    </row>
    <row r="17" spans="1:22" x14ac:dyDescent="0.2">
      <c r="B17" s="5" t="s">
        <v>38</v>
      </c>
    </row>
    <row r="18" spans="1:22" ht="15" x14ac:dyDescent="0.2">
      <c r="A18" s="81" t="s">
        <v>73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2" x14ac:dyDescent="0.2">
      <c r="A19" s="14" t="s">
        <v>16</v>
      </c>
      <c r="B19" s="11" t="s">
        <v>74</v>
      </c>
      <c r="C19" s="11" t="s">
        <v>75</v>
      </c>
      <c r="D19" s="11" t="s">
        <v>76</v>
      </c>
      <c r="E19" s="11" t="str">
        <f>"1,0980"</f>
        <v>1,0980</v>
      </c>
      <c r="F19" s="11" t="s">
        <v>20</v>
      </c>
      <c r="G19" s="11" t="s">
        <v>69</v>
      </c>
      <c r="H19" s="12" t="s">
        <v>34</v>
      </c>
      <c r="I19" s="12" t="s">
        <v>34</v>
      </c>
      <c r="J19" s="13" t="s">
        <v>34</v>
      </c>
      <c r="K19" s="14"/>
      <c r="L19" s="13" t="s">
        <v>36</v>
      </c>
      <c r="M19" s="13" t="s">
        <v>25</v>
      </c>
      <c r="N19" s="13" t="s">
        <v>26</v>
      </c>
      <c r="O19" s="14"/>
      <c r="P19" s="13" t="s">
        <v>29</v>
      </c>
      <c r="Q19" s="13" t="s">
        <v>30</v>
      </c>
      <c r="R19" s="13" t="s">
        <v>37</v>
      </c>
      <c r="S19" s="14"/>
      <c r="T19" s="28" t="str">
        <f>"220,0"</f>
        <v>220,0</v>
      </c>
      <c r="U19" s="14" t="str">
        <f>"241,5600"</f>
        <v>241,5600</v>
      </c>
      <c r="V19" s="11" t="s">
        <v>77</v>
      </c>
    </row>
    <row r="20" spans="1:22" x14ac:dyDescent="0.2">
      <c r="A20" s="21" t="s">
        <v>16</v>
      </c>
      <c r="B20" s="19" t="s">
        <v>78</v>
      </c>
      <c r="C20" s="19" t="s">
        <v>79</v>
      </c>
      <c r="D20" s="19" t="s">
        <v>80</v>
      </c>
      <c r="E20" s="19" t="str">
        <f>"1,0467"</f>
        <v>1,0467</v>
      </c>
      <c r="F20" s="19" t="s">
        <v>20</v>
      </c>
      <c r="G20" s="19" t="s">
        <v>81</v>
      </c>
      <c r="H20" s="20" t="s">
        <v>37</v>
      </c>
      <c r="I20" s="22" t="s">
        <v>82</v>
      </c>
      <c r="J20" s="22" t="s">
        <v>82</v>
      </c>
      <c r="K20" s="21"/>
      <c r="L20" s="20" t="s">
        <v>34</v>
      </c>
      <c r="M20" s="22" t="s">
        <v>23</v>
      </c>
      <c r="N20" s="20" t="s">
        <v>23</v>
      </c>
      <c r="O20" s="21"/>
      <c r="P20" s="20" t="s">
        <v>58</v>
      </c>
      <c r="Q20" s="22" t="s">
        <v>83</v>
      </c>
      <c r="R20" s="22" t="s">
        <v>83</v>
      </c>
      <c r="S20" s="21"/>
      <c r="T20" s="29" t="str">
        <f>"310,0"</f>
        <v>310,0</v>
      </c>
      <c r="U20" s="21" t="str">
        <f>"324,4770"</f>
        <v>324,4770</v>
      </c>
      <c r="V20" s="19" t="s">
        <v>84</v>
      </c>
    </row>
    <row r="21" spans="1:22" x14ac:dyDescent="0.2">
      <c r="B21" s="5" t="s">
        <v>38</v>
      </c>
    </row>
    <row r="22" spans="1:22" ht="15" x14ac:dyDescent="0.2">
      <c r="A22" s="81" t="s">
        <v>48</v>
      </c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2" x14ac:dyDescent="0.2">
      <c r="A23" s="14" t="s">
        <v>16</v>
      </c>
      <c r="B23" s="11" t="s">
        <v>85</v>
      </c>
      <c r="C23" s="11" t="s">
        <v>86</v>
      </c>
      <c r="D23" s="11" t="s">
        <v>68</v>
      </c>
      <c r="E23" s="11" t="str">
        <f>"0,8731"</f>
        <v>0,8731</v>
      </c>
      <c r="F23" s="11" t="s">
        <v>20</v>
      </c>
      <c r="G23" s="11" t="s">
        <v>87</v>
      </c>
      <c r="H23" s="13" t="s">
        <v>82</v>
      </c>
      <c r="I23" s="13" t="s">
        <v>88</v>
      </c>
      <c r="J23" s="13" t="s">
        <v>57</v>
      </c>
      <c r="K23" s="14"/>
      <c r="L23" s="13" t="s">
        <v>56</v>
      </c>
      <c r="M23" s="13" t="s">
        <v>89</v>
      </c>
      <c r="N23" s="13" t="s">
        <v>22</v>
      </c>
      <c r="O23" s="14"/>
      <c r="P23" s="13" t="s">
        <v>90</v>
      </c>
      <c r="Q23" s="13" t="s">
        <v>83</v>
      </c>
      <c r="R23" s="13" t="s">
        <v>91</v>
      </c>
      <c r="S23" s="14"/>
      <c r="T23" s="28" t="str">
        <f>"332,5"</f>
        <v>332,5</v>
      </c>
      <c r="U23" s="14" t="str">
        <f>"290,3057"</f>
        <v>290,3057</v>
      </c>
      <c r="V23" s="11" t="s">
        <v>92</v>
      </c>
    </row>
    <row r="24" spans="1:22" x14ac:dyDescent="0.2">
      <c r="A24" s="17" t="s">
        <v>16</v>
      </c>
      <c r="B24" s="15" t="s">
        <v>93</v>
      </c>
      <c r="C24" s="15" t="s">
        <v>94</v>
      </c>
      <c r="D24" s="15" t="s">
        <v>95</v>
      </c>
      <c r="E24" s="15" t="str">
        <f>"0,8648"</f>
        <v>0,8648</v>
      </c>
      <c r="F24" s="15" t="s">
        <v>96</v>
      </c>
      <c r="G24" s="15" t="s">
        <v>97</v>
      </c>
      <c r="H24" s="16" t="s">
        <v>98</v>
      </c>
      <c r="I24" s="18" t="s">
        <v>99</v>
      </c>
      <c r="J24" s="18" t="s">
        <v>99</v>
      </c>
      <c r="K24" s="17"/>
      <c r="L24" s="16" t="s">
        <v>53</v>
      </c>
      <c r="M24" s="16" t="s">
        <v>30</v>
      </c>
      <c r="N24" s="17"/>
      <c r="O24" s="17"/>
      <c r="P24" s="18" t="s">
        <v>100</v>
      </c>
      <c r="Q24" s="16" t="s">
        <v>100</v>
      </c>
      <c r="R24" s="18" t="s">
        <v>101</v>
      </c>
      <c r="S24" s="17"/>
      <c r="T24" s="32" t="str">
        <f>"465,0"</f>
        <v>465,0</v>
      </c>
      <c r="U24" s="17" t="str">
        <f>"402,1320"</f>
        <v>402,1320</v>
      </c>
      <c r="V24" s="15" t="s">
        <v>102</v>
      </c>
    </row>
    <row r="25" spans="1:22" x14ac:dyDescent="0.2">
      <c r="A25" s="17" t="s">
        <v>60</v>
      </c>
      <c r="B25" s="15" t="s">
        <v>103</v>
      </c>
      <c r="C25" s="15" t="s">
        <v>104</v>
      </c>
      <c r="D25" s="15" t="s">
        <v>105</v>
      </c>
      <c r="E25" s="15" t="str">
        <f>"0,8581"</f>
        <v>0,8581</v>
      </c>
      <c r="F25" s="15" t="s">
        <v>20</v>
      </c>
      <c r="G25" s="15" t="s">
        <v>106</v>
      </c>
      <c r="H25" s="16" t="s">
        <v>107</v>
      </c>
      <c r="I25" s="16" t="s">
        <v>90</v>
      </c>
      <c r="J25" s="18" t="s">
        <v>58</v>
      </c>
      <c r="K25" s="17"/>
      <c r="L25" s="16" t="s">
        <v>108</v>
      </c>
      <c r="M25" s="16" t="s">
        <v>28</v>
      </c>
      <c r="N25" s="16" t="s">
        <v>53</v>
      </c>
      <c r="O25" s="17"/>
      <c r="P25" s="16" t="s">
        <v>109</v>
      </c>
      <c r="Q25" s="16" t="s">
        <v>110</v>
      </c>
      <c r="R25" s="18" t="s">
        <v>99</v>
      </c>
      <c r="S25" s="17"/>
      <c r="T25" s="32" t="str">
        <f>"380,0"</f>
        <v>380,0</v>
      </c>
      <c r="U25" s="17" t="str">
        <f>"326,0780"</f>
        <v>326,0780</v>
      </c>
      <c r="V25" s="15" t="s">
        <v>59</v>
      </c>
    </row>
    <row r="26" spans="1:22" x14ac:dyDescent="0.2">
      <c r="A26" s="21" t="s">
        <v>16</v>
      </c>
      <c r="B26" s="19" t="s">
        <v>103</v>
      </c>
      <c r="C26" s="19" t="s">
        <v>111</v>
      </c>
      <c r="D26" s="19" t="s">
        <v>105</v>
      </c>
      <c r="E26" s="19" t="str">
        <f>"0,8581"</f>
        <v>0,8581</v>
      </c>
      <c r="F26" s="19" t="s">
        <v>20</v>
      </c>
      <c r="G26" s="19" t="s">
        <v>106</v>
      </c>
      <c r="H26" s="20" t="s">
        <v>107</v>
      </c>
      <c r="I26" s="20" t="s">
        <v>90</v>
      </c>
      <c r="J26" s="22" t="s">
        <v>58</v>
      </c>
      <c r="K26" s="21"/>
      <c r="L26" s="20" t="s">
        <v>108</v>
      </c>
      <c r="M26" s="20" t="s">
        <v>28</v>
      </c>
      <c r="N26" s="20" t="s">
        <v>53</v>
      </c>
      <c r="O26" s="21"/>
      <c r="P26" s="20" t="s">
        <v>109</v>
      </c>
      <c r="Q26" s="20" t="s">
        <v>110</v>
      </c>
      <c r="R26" s="22" t="s">
        <v>99</v>
      </c>
      <c r="S26" s="21"/>
      <c r="T26" s="29" t="str">
        <f>"380,0"</f>
        <v>380,0</v>
      </c>
      <c r="U26" s="21" t="str">
        <f>"431,0751"</f>
        <v>431,0751</v>
      </c>
      <c r="V26" s="19" t="s">
        <v>59</v>
      </c>
    </row>
    <row r="27" spans="1:22" x14ac:dyDescent="0.2">
      <c r="B27" s="5" t="s">
        <v>38</v>
      </c>
    </row>
    <row r="28" spans="1:22" ht="15" x14ac:dyDescent="0.2">
      <c r="A28" s="81" t="s">
        <v>73</v>
      </c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2" x14ac:dyDescent="0.2">
      <c r="A29" s="14" t="s">
        <v>16</v>
      </c>
      <c r="B29" s="11" t="s">
        <v>112</v>
      </c>
      <c r="C29" s="11" t="s">
        <v>113</v>
      </c>
      <c r="D29" s="11" t="s">
        <v>114</v>
      </c>
      <c r="E29" s="11" t="str">
        <f>"0,7891"</f>
        <v>0,7891</v>
      </c>
      <c r="F29" s="11" t="s">
        <v>20</v>
      </c>
      <c r="G29" s="11" t="s">
        <v>115</v>
      </c>
      <c r="H29" s="13" t="s">
        <v>116</v>
      </c>
      <c r="I29" s="13" t="s">
        <v>90</v>
      </c>
      <c r="J29" s="12" t="s">
        <v>117</v>
      </c>
      <c r="K29" s="14"/>
      <c r="L29" s="13" t="s">
        <v>35</v>
      </c>
      <c r="M29" s="13" t="s">
        <v>24</v>
      </c>
      <c r="N29" s="12" t="s">
        <v>28</v>
      </c>
      <c r="O29" s="14"/>
      <c r="P29" s="13" t="s">
        <v>116</v>
      </c>
      <c r="Q29" s="13" t="s">
        <v>58</v>
      </c>
      <c r="R29" s="13" t="s">
        <v>118</v>
      </c>
      <c r="S29" s="14"/>
      <c r="T29" s="28" t="str">
        <f>"350,0"</f>
        <v>350,0</v>
      </c>
      <c r="U29" s="14" t="str">
        <f>"276,1850"</f>
        <v>276,1850</v>
      </c>
      <c r="V29" s="11" t="s">
        <v>59</v>
      </c>
    </row>
    <row r="30" spans="1:22" x14ac:dyDescent="0.2">
      <c r="A30" s="17" t="s">
        <v>16</v>
      </c>
      <c r="B30" s="15" t="s">
        <v>119</v>
      </c>
      <c r="C30" s="15" t="s">
        <v>120</v>
      </c>
      <c r="D30" s="15" t="s">
        <v>121</v>
      </c>
      <c r="E30" s="15" t="str">
        <f>"0,7823"</f>
        <v>0,7823</v>
      </c>
      <c r="F30" s="15" t="s">
        <v>20</v>
      </c>
      <c r="G30" s="15" t="s">
        <v>122</v>
      </c>
      <c r="H30" s="16" t="s">
        <v>123</v>
      </c>
      <c r="I30" s="18" t="s">
        <v>124</v>
      </c>
      <c r="J30" s="18" t="s">
        <v>124</v>
      </c>
      <c r="K30" s="17"/>
      <c r="L30" s="16" t="s">
        <v>58</v>
      </c>
      <c r="M30" s="16" t="s">
        <v>118</v>
      </c>
      <c r="N30" s="18" t="s">
        <v>125</v>
      </c>
      <c r="O30" s="17"/>
      <c r="P30" s="18" t="s">
        <v>98</v>
      </c>
      <c r="Q30" s="18" t="s">
        <v>98</v>
      </c>
      <c r="R30" s="16" t="s">
        <v>98</v>
      </c>
      <c r="S30" s="17"/>
      <c r="T30" s="32" t="str">
        <f>"480,0"</f>
        <v>480,0</v>
      </c>
      <c r="U30" s="17" t="str">
        <f>"375,5040"</f>
        <v>375,5040</v>
      </c>
      <c r="V30" s="15" t="s">
        <v>59</v>
      </c>
    </row>
    <row r="31" spans="1:22" x14ac:dyDescent="0.2">
      <c r="A31" s="21" t="s">
        <v>60</v>
      </c>
      <c r="B31" s="19" t="s">
        <v>126</v>
      </c>
      <c r="C31" s="19" t="s">
        <v>127</v>
      </c>
      <c r="D31" s="19" t="s">
        <v>128</v>
      </c>
      <c r="E31" s="19" t="str">
        <f>"0,7911"</f>
        <v>0,7911</v>
      </c>
      <c r="F31" s="19" t="s">
        <v>20</v>
      </c>
      <c r="G31" s="19" t="s">
        <v>129</v>
      </c>
      <c r="H31" s="22" t="s">
        <v>53</v>
      </c>
      <c r="I31" s="20" t="s">
        <v>53</v>
      </c>
      <c r="J31" s="20" t="s">
        <v>46</v>
      </c>
      <c r="K31" s="21"/>
      <c r="L31" s="20" t="s">
        <v>34</v>
      </c>
      <c r="M31" s="20" t="s">
        <v>23</v>
      </c>
      <c r="N31" s="22" t="s">
        <v>35</v>
      </c>
      <c r="O31" s="21"/>
      <c r="P31" s="20" t="s">
        <v>57</v>
      </c>
      <c r="Q31" s="20" t="s">
        <v>130</v>
      </c>
      <c r="R31" s="21"/>
      <c r="S31" s="21"/>
      <c r="T31" s="29" t="str">
        <f>"300,0"</f>
        <v>300,0</v>
      </c>
      <c r="U31" s="21" t="str">
        <f>"237,3300"</f>
        <v>237,3300</v>
      </c>
      <c r="V31" s="19" t="s">
        <v>59</v>
      </c>
    </row>
    <row r="32" spans="1:22" x14ac:dyDescent="0.2">
      <c r="B32" s="5" t="s">
        <v>38</v>
      </c>
    </row>
    <row r="33" spans="1:22" ht="15" x14ac:dyDescent="0.2">
      <c r="A33" s="81" t="s">
        <v>131</v>
      </c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2" x14ac:dyDescent="0.2">
      <c r="A34" s="14" t="s">
        <v>16</v>
      </c>
      <c r="B34" s="11" t="s">
        <v>132</v>
      </c>
      <c r="C34" s="11" t="s">
        <v>133</v>
      </c>
      <c r="D34" s="11" t="s">
        <v>134</v>
      </c>
      <c r="E34" s="11" t="str">
        <f>"0,7293"</f>
        <v>0,7293</v>
      </c>
      <c r="F34" s="11" t="s">
        <v>20</v>
      </c>
      <c r="G34" s="11" t="s">
        <v>135</v>
      </c>
      <c r="H34" s="12" t="s">
        <v>82</v>
      </c>
      <c r="I34" s="13" t="s">
        <v>116</v>
      </c>
      <c r="J34" s="13" t="s">
        <v>83</v>
      </c>
      <c r="K34" s="14"/>
      <c r="L34" s="13" t="s">
        <v>24</v>
      </c>
      <c r="M34" s="13" t="s">
        <v>29</v>
      </c>
      <c r="N34" s="12" t="s">
        <v>37</v>
      </c>
      <c r="O34" s="14"/>
      <c r="P34" s="13" t="s">
        <v>136</v>
      </c>
      <c r="Q34" s="13" t="s">
        <v>110</v>
      </c>
      <c r="R34" s="13" t="s">
        <v>137</v>
      </c>
      <c r="S34" s="14"/>
      <c r="T34" s="28" t="str">
        <f>"405,0"</f>
        <v>405,0</v>
      </c>
      <c r="U34" s="14" t="str">
        <f>"295,3665"</f>
        <v>295,3665</v>
      </c>
      <c r="V34" s="11" t="s">
        <v>138</v>
      </c>
    </row>
    <row r="35" spans="1:22" x14ac:dyDescent="0.2">
      <c r="A35" s="17" t="s">
        <v>16</v>
      </c>
      <c r="B35" s="15" t="s">
        <v>139</v>
      </c>
      <c r="C35" s="15" t="s">
        <v>140</v>
      </c>
      <c r="D35" s="15" t="s">
        <v>141</v>
      </c>
      <c r="E35" s="15" t="str">
        <f>"0,7186"</f>
        <v>0,7186</v>
      </c>
      <c r="F35" s="15" t="s">
        <v>20</v>
      </c>
      <c r="G35" s="15" t="s">
        <v>142</v>
      </c>
      <c r="H35" s="18" t="s">
        <v>143</v>
      </c>
      <c r="I35" s="16" t="s">
        <v>143</v>
      </c>
      <c r="J35" s="18" t="s">
        <v>144</v>
      </c>
      <c r="K35" s="17"/>
      <c r="L35" s="16" t="s">
        <v>116</v>
      </c>
      <c r="M35" s="16" t="s">
        <v>130</v>
      </c>
      <c r="N35" s="18" t="s">
        <v>58</v>
      </c>
      <c r="O35" s="17"/>
      <c r="P35" s="16" t="s">
        <v>144</v>
      </c>
      <c r="Q35" s="16" t="s">
        <v>145</v>
      </c>
      <c r="R35" s="16" t="s">
        <v>146</v>
      </c>
      <c r="S35" s="17"/>
      <c r="T35" s="32" t="str">
        <f>"575,0"</f>
        <v>575,0</v>
      </c>
      <c r="U35" s="17" t="str">
        <f>"413,1950"</f>
        <v>413,1950</v>
      </c>
      <c r="V35" s="15" t="s">
        <v>147</v>
      </c>
    </row>
    <row r="36" spans="1:22" x14ac:dyDescent="0.2">
      <c r="A36" s="17" t="s">
        <v>16</v>
      </c>
      <c r="B36" s="15" t="s">
        <v>148</v>
      </c>
      <c r="C36" s="15" t="s">
        <v>149</v>
      </c>
      <c r="D36" s="15" t="s">
        <v>150</v>
      </c>
      <c r="E36" s="15" t="str">
        <f>"0,7126"</f>
        <v>0,7126</v>
      </c>
      <c r="F36" s="15" t="s">
        <v>20</v>
      </c>
      <c r="G36" s="15" t="s">
        <v>151</v>
      </c>
      <c r="H36" s="16" t="s">
        <v>98</v>
      </c>
      <c r="I36" s="16" t="s">
        <v>137</v>
      </c>
      <c r="J36" s="16" t="s">
        <v>152</v>
      </c>
      <c r="K36" s="17"/>
      <c r="L36" s="16" t="s">
        <v>90</v>
      </c>
      <c r="M36" s="16" t="s">
        <v>130</v>
      </c>
      <c r="N36" s="18" t="s">
        <v>117</v>
      </c>
      <c r="O36" s="17"/>
      <c r="P36" s="16" t="s">
        <v>153</v>
      </c>
      <c r="Q36" s="16" t="s">
        <v>154</v>
      </c>
      <c r="R36" s="16" t="s">
        <v>155</v>
      </c>
      <c r="S36" s="17"/>
      <c r="T36" s="32" t="str">
        <f>"575,0"</f>
        <v>575,0</v>
      </c>
      <c r="U36" s="17" t="str">
        <f>"409,7450"</f>
        <v>409,7450</v>
      </c>
      <c r="V36" s="15" t="s">
        <v>59</v>
      </c>
    </row>
    <row r="37" spans="1:22" x14ac:dyDescent="0.2">
      <c r="A37" s="17" t="s">
        <v>60</v>
      </c>
      <c r="B37" s="15" t="s">
        <v>156</v>
      </c>
      <c r="C37" s="15" t="s">
        <v>157</v>
      </c>
      <c r="D37" s="15" t="s">
        <v>158</v>
      </c>
      <c r="E37" s="15" t="str">
        <f>"0,7242"</f>
        <v>0,7242</v>
      </c>
      <c r="F37" s="15" t="s">
        <v>20</v>
      </c>
      <c r="G37" s="15" t="s">
        <v>159</v>
      </c>
      <c r="H37" s="16" t="s">
        <v>124</v>
      </c>
      <c r="I37" s="16" t="s">
        <v>160</v>
      </c>
      <c r="J37" s="18" t="s">
        <v>143</v>
      </c>
      <c r="K37" s="17"/>
      <c r="L37" s="16" t="s">
        <v>107</v>
      </c>
      <c r="M37" s="16" t="s">
        <v>57</v>
      </c>
      <c r="N37" s="16" t="s">
        <v>90</v>
      </c>
      <c r="O37" s="17"/>
      <c r="P37" s="16" t="s">
        <v>144</v>
      </c>
      <c r="Q37" s="16" t="s">
        <v>161</v>
      </c>
      <c r="R37" s="16" t="s">
        <v>153</v>
      </c>
      <c r="S37" s="17"/>
      <c r="T37" s="32" t="str">
        <f>"550,0"</f>
        <v>550,0</v>
      </c>
      <c r="U37" s="17" t="str">
        <f>"398,3100"</f>
        <v>398,3100</v>
      </c>
      <c r="V37" s="15" t="s">
        <v>59</v>
      </c>
    </row>
    <row r="38" spans="1:22" x14ac:dyDescent="0.2">
      <c r="A38" s="17" t="s">
        <v>65</v>
      </c>
      <c r="B38" s="15" t="s">
        <v>162</v>
      </c>
      <c r="C38" s="15" t="s">
        <v>163</v>
      </c>
      <c r="D38" s="15" t="s">
        <v>164</v>
      </c>
      <c r="E38" s="15" t="str">
        <f>"0,7307"</f>
        <v>0,7307</v>
      </c>
      <c r="F38" s="15" t="s">
        <v>20</v>
      </c>
      <c r="G38" s="15" t="s">
        <v>165</v>
      </c>
      <c r="H38" s="16" t="s">
        <v>116</v>
      </c>
      <c r="I38" s="16" t="s">
        <v>83</v>
      </c>
      <c r="J38" s="16" t="s">
        <v>125</v>
      </c>
      <c r="K38" s="17"/>
      <c r="L38" s="16" t="s">
        <v>23</v>
      </c>
      <c r="M38" s="16" t="s">
        <v>24</v>
      </c>
      <c r="N38" s="17"/>
      <c r="O38" s="17"/>
      <c r="P38" s="18" t="s">
        <v>137</v>
      </c>
      <c r="Q38" s="16" t="s">
        <v>123</v>
      </c>
      <c r="R38" s="18" t="s">
        <v>166</v>
      </c>
      <c r="S38" s="17"/>
      <c r="T38" s="32" t="str">
        <f>"410,0"</f>
        <v>410,0</v>
      </c>
      <c r="U38" s="17" t="str">
        <f>"299,5870"</f>
        <v>299,5870</v>
      </c>
      <c r="V38" s="15" t="s">
        <v>167</v>
      </c>
    </row>
    <row r="39" spans="1:22" x14ac:dyDescent="0.2">
      <c r="A39" s="17" t="s">
        <v>16</v>
      </c>
      <c r="B39" s="15" t="s">
        <v>168</v>
      </c>
      <c r="C39" s="15" t="s">
        <v>169</v>
      </c>
      <c r="D39" s="15" t="s">
        <v>170</v>
      </c>
      <c r="E39" s="15" t="str">
        <f>"0,7132"</f>
        <v>0,7132</v>
      </c>
      <c r="F39" s="15" t="s">
        <v>171</v>
      </c>
      <c r="G39" s="15" t="s">
        <v>172</v>
      </c>
      <c r="H39" s="16" t="s">
        <v>144</v>
      </c>
      <c r="I39" s="18" t="s">
        <v>173</v>
      </c>
      <c r="J39" s="16" t="s">
        <v>173</v>
      </c>
      <c r="K39" s="17"/>
      <c r="L39" s="16" t="s">
        <v>90</v>
      </c>
      <c r="M39" s="16" t="s">
        <v>58</v>
      </c>
      <c r="N39" s="18" t="s">
        <v>117</v>
      </c>
      <c r="O39" s="17"/>
      <c r="P39" s="16" t="s">
        <v>153</v>
      </c>
      <c r="Q39" s="18" t="s">
        <v>174</v>
      </c>
      <c r="R39" s="18" t="s">
        <v>175</v>
      </c>
      <c r="S39" s="17"/>
      <c r="T39" s="32" t="str">
        <f>"577,5"</f>
        <v>577,5</v>
      </c>
      <c r="U39" s="17" t="str">
        <f>"411,8730"</f>
        <v>411,8730</v>
      </c>
      <c r="V39" s="15" t="s">
        <v>59</v>
      </c>
    </row>
    <row r="40" spans="1:22" x14ac:dyDescent="0.2">
      <c r="A40" s="17" t="s">
        <v>60</v>
      </c>
      <c r="B40" s="15" t="s">
        <v>176</v>
      </c>
      <c r="C40" s="15" t="s">
        <v>177</v>
      </c>
      <c r="D40" s="15" t="s">
        <v>178</v>
      </c>
      <c r="E40" s="15" t="str">
        <f>"0,7166"</f>
        <v>0,7166</v>
      </c>
      <c r="F40" s="15" t="s">
        <v>20</v>
      </c>
      <c r="G40" s="15" t="s">
        <v>69</v>
      </c>
      <c r="H40" s="16" t="s">
        <v>90</v>
      </c>
      <c r="I40" s="18" t="s">
        <v>83</v>
      </c>
      <c r="J40" s="16" t="s">
        <v>118</v>
      </c>
      <c r="K40" s="17"/>
      <c r="L40" s="18" t="s">
        <v>107</v>
      </c>
      <c r="M40" s="16" t="s">
        <v>116</v>
      </c>
      <c r="N40" s="16" t="s">
        <v>90</v>
      </c>
      <c r="O40" s="17"/>
      <c r="P40" s="16" t="s">
        <v>125</v>
      </c>
      <c r="Q40" s="16" t="s">
        <v>109</v>
      </c>
      <c r="R40" s="16" t="s">
        <v>110</v>
      </c>
      <c r="S40" s="17"/>
      <c r="T40" s="32" t="str">
        <f>"430,0"</f>
        <v>430,0</v>
      </c>
      <c r="U40" s="17" t="str">
        <f>"308,1380"</f>
        <v>308,1380</v>
      </c>
      <c r="V40" s="15" t="s">
        <v>59</v>
      </c>
    </row>
    <row r="41" spans="1:22" x14ac:dyDescent="0.2">
      <c r="A41" s="17" t="s">
        <v>65</v>
      </c>
      <c r="B41" s="15" t="s">
        <v>179</v>
      </c>
      <c r="C41" s="15" t="s">
        <v>180</v>
      </c>
      <c r="D41" s="15" t="s">
        <v>181</v>
      </c>
      <c r="E41" s="15" t="str">
        <f>"0,7603"</f>
        <v>0,7603</v>
      </c>
      <c r="F41" s="15" t="s">
        <v>20</v>
      </c>
      <c r="G41" s="15" t="s">
        <v>129</v>
      </c>
      <c r="H41" s="16" t="s">
        <v>82</v>
      </c>
      <c r="I41" s="16" t="s">
        <v>107</v>
      </c>
      <c r="J41" s="16" t="s">
        <v>116</v>
      </c>
      <c r="K41" s="17"/>
      <c r="L41" s="16" t="s">
        <v>35</v>
      </c>
      <c r="M41" s="16" t="s">
        <v>64</v>
      </c>
      <c r="N41" s="18" t="s">
        <v>30</v>
      </c>
      <c r="O41" s="17"/>
      <c r="P41" s="16" t="s">
        <v>118</v>
      </c>
      <c r="Q41" s="16" t="s">
        <v>125</v>
      </c>
      <c r="R41" s="16" t="s">
        <v>136</v>
      </c>
      <c r="S41" s="17"/>
      <c r="T41" s="32" t="str">
        <f>"362,5"</f>
        <v>362,5</v>
      </c>
      <c r="U41" s="17" t="str">
        <f>"275,6087"</f>
        <v>275,6087</v>
      </c>
      <c r="V41" s="15" t="s">
        <v>59</v>
      </c>
    </row>
    <row r="42" spans="1:22" x14ac:dyDescent="0.2">
      <c r="A42" s="17" t="s">
        <v>182</v>
      </c>
      <c r="B42" s="15" t="s">
        <v>183</v>
      </c>
      <c r="C42" s="15" t="s">
        <v>184</v>
      </c>
      <c r="D42" s="15" t="s">
        <v>185</v>
      </c>
      <c r="E42" s="15" t="str">
        <f>"0,7207"</f>
        <v>0,7207</v>
      </c>
      <c r="F42" s="15" t="s">
        <v>20</v>
      </c>
      <c r="G42" s="15" t="s">
        <v>129</v>
      </c>
      <c r="H42" s="18" t="s">
        <v>37</v>
      </c>
      <c r="I42" s="16" t="s">
        <v>37</v>
      </c>
      <c r="J42" s="18" t="s">
        <v>82</v>
      </c>
      <c r="K42" s="17"/>
      <c r="L42" s="16" t="s">
        <v>24</v>
      </c>
      <c r="M42" s="18" t="s">
        <v>53</v>
      </c>
      <c r="N42" s="18" t="s">
        <v>53</v>
      </c>
      <c r="O42" s="17"/>
      <c r="P42" s="16" t="s">
        <v>90</v>
      </c>
      <c r="Q42" s="16" t="s">
        <v>83</v>
      </c>
      <c r="R42" s="18" t="s">
        <v>118</v>
      </c>
      <c r="S42" s="17"/>
      <c r="T42" s="32" t="str">
        <f>"325,0"</f>
        <v>325,0</v>
      </c>
      <c r="U42" s="17" t="str">
        <f>"234,2275"</f>
        <v>234,2275</v>
      </c>
      <c r="V42" s="15" t="s">
        <v>59</v>
      </c>
    </row>
    <row r="43" spans="1:22" x14ac:dyDescent="0.2">
      <c r="A43" s="21" t="s">
        <v>186</v>
      </c>
      <c r="B43" s="19" t="s">
        <v>187</v>
      </c>
      <c r="C43" s="19" t="s">
        <v>188</v>
      </c>
      <c r="D43" s="19" t="s">
        <v>189</v>
      </c>
      <c r="E43" s="19" t="str">
        <f>"0,7159"</f>
        <v>0,7159</v>
      </c>
      <c r="F43" s="19" t="s">
        <v>190</v>
      </c>
      <c r="G43" s="19" t="s">
        <v>191</v>
      </c>
      <c r="H43" s="20" t="s">
        <v>118</v>
      </c>
      <c r="I43" s="20" t="s">
        <v>136</v>
      </c>
      <c r="J43" s="20" t="s">
        <v>109</v>
      </c>
      <c r="K43" s="21"/>
      <c r="L43" s="20" t="s">
        <v>30</v>
      </c>
      <c r="M43" s="20" t="s">
        <v>37</v>
      </c>
      <c r="N43" s="22" t="s">
        <v>82</v>
      </c>
      <c r="O43" s="21"/>
      <c r="P43" s="22" t="s">
        <v>123</v>
      </c>
      <c r="Q43" s="22" t="s">
        <v>123</v>
      </c>
      <c r="R43" s="22" t="s">
        <v>166</v>
      </c>
      <c r="S43" s="21"/>
      <c r="T43" s="29">
        <v>0</v>
      </c>
      <c r="U43" s="21" t="str">
        <f>"0,0000"</f>
        <v>0,0000</v>
      </c>
      <c r="V43" s="19" t="s">
        <v>59</v>
      </c>
    </row>
    <row r="44" spans="1:22" x14ac:dyDescent="0.2">
      <c r="B44" s="5" t="s">
        <v>38</v>
      </c>
    </row>
    <row r="45" spans="1:22" ht="15" x14ac:dyDescent="0.2">
      <c r="A45" s="81" t="s">
        <v>192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2" x14ac:dyDescent="0.2">
      <c r="A46" s="35" t="s">
        <v>16</v>
      </c>
      <c r="B46" s="11" t="s">
        <v>193</v>
      </c>
      <c r="C46" s="36" t="s">
        <v>194</v>
      </c>
      <c r="D46" s="11" t="s">
        <v>195</v>
      </c>
      <c r="E46" s="36" t="str">
        <f>"0,6729"</f>
        <v>0,6729</v>
      </c>
      <c r="F46" s="11" t="s">
        <v>20</v>
      </c>
      <c r="G46" s="40" t="s">
        <v>196</v>
      </c>
      <c r="H46" s="64" t="s">
        <v>110</v>
      </c>
      <c r="I46" s="38" t="s">
        <v>166</v>
      </c>
      <c r="J46" s="12" t="s">
        <v>160</v>
      </c>
      <c r="K46" s="39"/>
      <c r="L46" s="12" t="s">
        <v>90</v>
      </c>
      <c r="M46" s="37" t="s">
        <v>90</v>
      </c>
      <c r="N46" s="12" t="s">
        <v>83</v>
      </c>
      <c r="O46" s="39"/>
      <c r="P46" s="13" t="s">
        <v>123</v>
      </c>
      <c r="Q46" s="37" t="s">
        <v>160</v>
      </c>
      <c r="R46" s="13" t="s">
        <v>144</v>
      </c>
      <c r="S46" s="39"/>
      <c r="T46" s="28" t="str">
        <f>"500,0"</f>
        <v>500,0</v>
      </c>
      <c r="U46" s="39" t="str">
        <f>"336,4500"</f>
        <v>336,4500</v>
      </c>
      <c r="V46" s="11" t="s">
        <v>197</v>
      </c>
    </row>
    <row r="47" spans="1:22" x14ac:dyDescent="0.2">
      <c r="A47" s="41" t="s">
        <v>60</v>
      </c>
      <c r="B47" s="15" t="s">
        <v>198</v>
      </c>
      <c r="C47" s="5" t="s">
        <v>199</v>
      </c>
      <c r="D47" s="15" t="s">
        <v>200</v>
      </c>
      <c r="E47" s="5" t="str">
        <f>"0,6724"</f>
        <v>0,6724</v>
      </c>
      <c r="F47" s="15" t="s">
        <v>20</v>
      </c>
      <c r="G47" s="42" t="s">
        <v>201</v>
      </c>
      <c r="H47" s="65" t="s">
        <v>58</v>
      </c>
      <c r="I47" s="33" t="s">
        <v>118</v>
      </c>
      <c r="J47" s="16" t="s">
        <v>136</v>
      </c>
      <c r="L47" s="16" t="s">
        <v>35</v>
      </c>
      <c r="M47" s="33" t="s">
        <v>24</v>
      </c>
      <c r="N47" s="16" t="s">
        <v>53</v>
      </c>
      <c r="P47" s="16" t="s">
        <v>99</v>
      </c>
      <c r="Q47" s="33" t="s">
        <v>123</v>
      </c>
      <c r="R47" s="18" t="s">
        <v>124</v>
      </c>
      <c r="T47" s="32" t="str">
        <f>"420,0"</f>
        <v>420,0</v>
      </c>
      <c r="U47" s="6" t="str">
        <f>"282,4080"</f>
        <v>282,4080</v>
      </c>
      <c r="V47" s="15" t="s">
        <v>202</v>
      </c>
    </row>
    <row r="48" spans="1:22" x14ac:dyDescent="0.2">
      <c r="A48" s="72" t="s">
        <v>203</v>
      </c>
      <c r="B48" s="15" t="s">
        <v>204</v>
      </c>
      <c r="C48" s="5" t="s">
        <v>205</v>
      </c>
      <c r="D48" s="15" t="s">
        <v>206</v>
      </c>
      <c r="E48" s="5" t="str">
        <f>"0,6893"</f>
        <v>0,6893</v>
      </c>
      <c r="F48" s="15" t="s">
        <v>20</v>
      </c>
      <c r="G48" s="42" t="s">
        <v>207</v>
      </c>
      <c r="H48" s="56" t="s">
        <v>136</v>
      </c>
      <c r="I48" s="33" t="s">
        <v>98</v>
      </c>
      <c r="J48" s="18" t="s">
        <v>99</v>
      </c>
      <c r="L48" s="16" t="s">
        <v>30</v>
      </c>
      <c r="M48" s="34" t="s">
        <v>37</v>
      </c>
      <c r="N48" s="16" t="s">
        <v>37</v>
      </c>
      <c r="P48" s="16" t="s">
        <v>208</v>
      </c>
      <c r="Q48" s="33" t="s">
        <v>174</v>
      </c>
      <c r="R48" s="18" t="s">
        <v>154</v>
      </c>
      <c r="T48" s="32" t="str">
        <f>"510,0"</f>
        <v>510,0</v>
      </c>
      <c r="U48" s="6" t="str">
        <f>"351,5430"</f>
        <v>351,5430</v>
      </c>
      <c r="V48" s="15" t="s">
        <v>59</v>
      </c>
    </row>
    <row r="49" spans="1:22" x14ac:dyDescent="0.2">
      <c r="A49" s="41" t="s">
        <v>16</v>
      </c>
      <c r="B49" s="15" t="s">
        <v>209</v>
      </c>
      <c r="C49" s="5" t="s">
        <v>210</v>
      </c>
      <c r="D49" s="15" t="s">
        <v>211</v>
      </c>
      <c r="E49" s="5" t="str">
        <f>"0,6714"</f>
        <v>0,6714</v>
      </c>
      <c r="F49" s="15" t="s">
        <v>20</v>
      </c>
      <c r="G49" s="42" t="s">
        <v>212</v>
      </c>
      <c r="H49" s="65" t="s">
        <v>136</v>
      </c>
      <c r="I49" s="33" t="s">
        <v>98</v>
      </c>
      <c r="J49" s="18" t="s">
        <v>110</v>
      </c>
      <c r="L49" s="16" t="s">
        <v>82</v>
      </c>
      <c r="M49" s="34" t="s">
        <v>107</v>
      </c>
      <c r="N49" s="16" t="s">
        <v>88</v>
      </c>
      <c r="P49" s="16" t="s">
        <v>143</v>
      </c>
      <c r="Q49" s="33" t="s">
        <v>213</v>
      </c>
      <c r="R49" s="18" t="s">
        <v>101</v>
      </c>
      <c r="T49" s="32" t="str">
        <f>"490,0"</f>
        <v>490,0</v>
      </c>
      <c r="U49" s="6" t="str">
        <f>"328,9860"</f>
        <v>328,9860</v>
      </c>
      <c r="V49" s="15" t="s">
        <v>167</v>
      </c>
    </row>
    <row r="50" spans="1:22" x14ac:dyDescent="0.2">
      <c r="A50" s="41" t="s">
        <v>186</v>
      </c>
      <c r="B50" s="15" t="s">
        <v>214</v>
      </c>
      <c r="C50" s="5" t="s">
        <v>215</v>
      </c>
      <c r="D50" s="15" t="s">
        <v>216</v>
      </c>
      <c r="E50" s="5" t="str">
        <f>"0,6854"</f>
        <v>0,6854</v>
      </c>
      <c r="F50" s="15" t="s">
        <v>20</v>
      </c>
      <c r="G50" s="42" t="s">
        <v>217</v>
      </c>
      <c r="H50" s="56" t="s">
        <v>124</v>
      </c>
      <c r="I50" s="33" t="s">
        <v>124</v>
      </c>
      <c r="J50" s="16" t="s">
        <v>143</v>
      </c>
      <c r="L50" s="18" t="s">
        <v>90</v>
      </c>
      <c r="M50" s="34" t="s">
        <v>90</v>
      </c>
      <c r="N50" s="18" t="s">
        <v>90</v>
      </c>
      <c r="P50" s="18"/>
      <c r="R50" s="17"/>
      <c r="T50" s="32">
        <v>0</v>
      </c>
      <c r="U50" s="6" t="str">
        <f>"0,0000"</f>
        <v>0,0000</v>
      </c>
      <c r="V50" s="15" t="s">
        <v>59</v>
      </c>
    </row>
    <row r="51" spans="1:22" x14ac:dyDescent="0.2">
      <c r="A51" s="41" t="s">
        <v>16</v>
      </c>
      <c r="B51" s="15" t="s">
        <v>218</v>
      </c>
      <c r="C51" s="5" t="s">
        <v>219</v>
      </c>
      <c r="D51" s="15" t="s">
        <v>220</v>
      </c>
      <c r="E51" s="5" t="str">
        <f>"0,6838"</f>
        <v>0,6838</v>
      </c>
      <c r="F51" s="15" t="s">
        <v>221</v>
      </c>
      <c r="G51" s="42" t="s">
        <v>222</v>
      </c>
      <c r="H51" s="65" t="s">
        <v>160</v>
      </c>
      <c r="I51" s="33" t="s">
        <v>100</v>
      </c>
      <c r="J51" s="16" t="s">
        <v>223</v>
      </c>
      <c r="L51" s="16" t="s">
        <v>118</v>
      </c>
      <c r="M51" s="34" t="s">
        <v>125</v>
      </c>
      <c r="N51" s="17"/>
      <c r="P51" s="16" t="s">
        <v>153</v>
      </c>
      <c r="Q51" s="33" t="s">
        <v>146</v>
      </c>
      <c r="R51" s="18" t="s">
        <v>154</v>
      </c>
      <c r="T51" s="32" t="str">
        <f>"602,5"</f>
        <v>602,5</v>
      </c>
      <c r="U51" s="6" t="str">
        <f>"411,9895"</f>
        <v>411,9895</v>
      </c>
      <c r="V51" s="15" t="s">
        <v>59</v>
      </c>
    </row>
    <row r="52" spans="1:22" x14ac:dyDescent="0.2">
      <c r="A52" s="41" t="s">
        <v>60</v>
      </c>
      <c r="B52" s="15" t="s">
        <v>224</v>
      </c>
      <c r="C52" s="5" t="s">
        <v>225</v>
      </c>
      <c r="D52" s="15" t="s">
        <v>226</v>
      </c>
      <c r="E52" s="5" t="str">
        <f>"0,6734"</f>
        <v>0,6734</v>
      </c>
      <c r="F52" s="15" t="s">
        <v>20</v>
      </c>
      <c r="G52" s="42" t="s">
        <v>69</v>
      </c>
      <c r="H52" s="65" t="s">
        <v>227</v>
      </c>
      <c r="I52" s="33" t="s">
        <v>228</v>
      </c>
      <c r="J52" s="16" t="s">
        <v>229</v>
      </c>
      <c r="L52" s="16" t="s">
        <v>136</v>
      </c>
      <c r="M52" s="33" t="s">
        <v>109</v>
      </c>
      <c r="N52" s="18" t="s">
        <v>98</v>
      </c>
      <c r="P52" s="16" t="s">
        <v>124</v>
      </c>
      <c r="Q52" s="33" t="s">
        <v>143</v>
      </c>
      <c r="R52" s="18" t="s">
        <v>100</v>
      </c>
      <c r="T52" s="32" t="str">
        <f>"532,5"</f>
        <v>532,5</v>
      </c>
      <c r="U52" s="6" t="str">
        <f>"358,5855"</f>
        <v>358,5855</v>
      </c>
      <c r="V52" s="15" t="s">
        <v>59</v>
      </c>
    </row>
    <row r="53" spans="1:22" x14ac:dyDescent="0.2">
      <c r="A53" s="41" t="s">
        <v>65</v>
      </c>
      <c r="B53" s="15" t="s">
        <v>230</v>
      </c>
      <c r="C53" s="5" t="s">
        <v>231</v>
      </c>
      <c r="D53" s="15" t="s">
        <v>232</v>
      </c>
      <c r="E53" s="5" t="str">
        <f>"0,6704"</f>
        <v>0,6704</v>
      </c>
      <c r="F53" s="15" t="s">
        <v>20</v>
      </c>
      <c r="G53" s="42" t="s">
        <v>233</v>
      </c>
      <c r="H53" s="65" t="s">
        <v>123</v>
      </c>
      <c r="I53" s="34" t="s">
        <v>124</v>
      </c>
      <c r="J53" s="16" t="s">
        <v>124</v>
      </c>
      <c r="L53" s="16" t="s">
        <v>82</v>
      </c>
      <c r="M53" s="33" t="s">
        <v>116</v>
      </c>
      <c r="N53" s="18" t="s">
        <v>90</v>
      </c>
      <c r="P53" s="16" t="s">
        <v>143</v>
      </c>
      <c r="Q53" s="33" t="s">
        <v>144</v>
      </c>
      <c r="R53" s="18" t="s">
        <v>145</v>
      </c>
      <c r="T53" s="32" t="str">
        <f>"520,0"</f>
        <v>520,0</v>
      </c>
      <c r="U53" s="6" t="str">
        <f>"348,6080"</f>
        <v>348,6080</v>
      </c>
      <c r="V53" s="15" t="s">
        <v>59</v>
      </c>
    </row>
    <row r="54" spans="1:22" x14ac:dyDescent="0.2">
      <c r="A54" s="41" t="s">
        <v>16</v>
      </c>
      <c r="B54" s="15" t="s">
        <v>234</v>
      </c>
      <c r="C54" s="5" t="s">
        <v>235</v>
      </c>
      <c r="D54" s="15" t="s">
        <v>236</v>
      </c>
      <c r="E54" s="5" t="str">
        <f>"0,6871"</f>
        <v>0,6871</v>
      </c>
      <c r="F54" s="15" t="s">
        <v>20</v>
      </c>
      <c r="G54" s="42" t="s">
        <v>69</v>
      </c>
      <c r="H54" s="56" t="s">
        <v>98</v>
      </c>
      <c r="I54" s="33" t="s">
        <v>98</v>
      </c>
      <c r="J54" s="16" t="s">
        <v>137</v>
      </c>
      <c r="L54" s="16" t="s">
        <v>116</v>
      </c>
      <c r="M54" s="33" t="s">
        <v>58</v>
      </c>
      <c r="N54" s="16" t="s">
        <v>237</v>
      </c>
      <c r="P54" s="16" t="s">
        <v>99</v>
      </c>
      <c r="Q54" s="33" t="s">
        <v>124</v>
      </c>
      <c r="R54" s="16" t="s">
        <v>143</v>
      </c>
      <c r="T54" s="32" t="str">
        <f>"512,5"</f>
        <v>512,5</v>
      </c>
      <c r="U54" s="6" t="str">
        <f>"367,6329"</f>
        <v>367,6329</v>
      </c>
      <c r="V54" s="15" t="s">
        <v>238</v>
      </c>
    </row>
    <row r="55" spans="1:22" x14ac:dyDescent="0.2">
      <c r="A55" s="41" t="s">
        <v>16</v>
      </c>
      <c r="B55" s="15" t="s">
        <v>239</v>
      </c>
      <c r="C55" s="5" t="s">
        <v>240</v>
      </c>
      <c r="D55" s="15" t="s">
        <v>241</v>
      </c>
      <c r="E55" s="5" t="str">
        <f>"0,6779"</f>
        <v>0,6779</v>
      </c>
      <c r="F55" s="15" t="s">
        <v>20</v>
      </c>
      <c r="G55" s="42" t="s">
        <v>69</v>
      </c>
      <c r="H55" s="65" t="s">
        <v>98</v>
      </c>
      <c r="I55" s="34" t="s">
        <v>99</v>
      </c>
      <c r="J55" s="16" t="s">
        <v>99</v>
      </c>
      <c r="L55" s="16" t="s">
        <v>37</v>
      </c>
      <c r="M55" s="33" t="s">
        <v>82</v>
      </c>
      <c r="N55" s="16" t="s">
        <v>107</v>
      </c>
      <c r="P55" s="16" t="s">
        <v>123</v>
      </c>
      <c r="Q55" s="33" t="s">
        <v>124</v>
      </c>
      <c r="R55" s="16" t="s">
        <v>160</v>
      </c>
      <c r="T55" s="32" t="str">
        <f>"480,0"</f>
        <v>480,0</v>
      </c>
      <c r="U55" s="6" t="str">
        <f>"478,3263"</f>
        <v>478,3263</v>
      </c>
      <c r="V55" s="15" t="s">
        <v>59</v>
      </c>
    </row>
    <row r="56" spans="1:22" x14ac:dyDescent="0.2">
      <c r="A56" s="43" t="s">
        <v>60</v>
      </c>
      <c r="B56" s="19" t="s">
        <v>242</v>
      </c>
      <c r="C56" s="44" t="s">
        <v>243</v>
      </c>
      <c r="D56" s="19" t="s">
        <v>244</v>
      </c>
      <c r="E56" s="44" t="str">
        <f>"0,6719"</f>
        <v>0,6719</v>
      </c>
      <c r="F56" s="19" t="s">
        <v>20</v>
      </c>
      <c r="G56" s="48" t="s">
        <v>69</v>
      </c>
      <c r="H56" s="57" t="s">
        <v>118</v>
      </c>
      <c r="I56" s="46" t="s">
        <v>118</v>
      </c>
      <c r="J56" s="20" t="s">
        <v>136</v>
      </c>
      <c r="K56" s="47"/>
      <c r="L56" s="22" t="s">
        <v>24</v>
      </c>
      <c r="M56" s="45" t="s">
        <v>24</v>
      </c>
      <c r="N56" s="20" t="s">
        <v>24</v>
      </c>
      <c r="O56" s="47"/>
      <c r="P56" s="20" t="s">
        <v>98</v>
      </c>
      <c r="Q56" s="46" t="s">
        <v>227</v>
      </c>
      <c r="R56" s="20" t="s">
        <v>228</v>
      </c>
      <c r="S56" s="47"/>
      <c r="T56" s="29" t="str">
        <f>"407,5"</f>
        <v>407,5</v>
      </c>
      <c r="U56" s="47" t="str">
        <f>"394,2709"</f>
        <v>394,2709</v>
      </c>
      <c r="V56" s="19" t="s">
        <v>245</v>
      </c>
    </row>
    <row r="57" spans="1:22" x14ac:dyDescent="0.2">
      <c r="B57" s="5" t="s">
        <v>38</v>
      </c>
    </row>
    <row r="58" spans="1:22" ht="15" x14ac:dyDescent="0.2">
      <c r="A58" s="81" t="s">
        <v>246</v>
      </c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2" x14ac:dyDescent="0.2">
      <c r="A59" s="14" t="s">
        <v>16</v>
      </c>
      <c r="B59" s="11" t="s">
        <v>247</v>
      </c>
      <c r="C59" s="11" t="s">
        <v>248</v>
      </c>
      <c r="D59" s="11" t="s">
        <v>249</v>
      </c>
      <c r="E59" s="11" t="str">
        <f>"0,6413"</f>
        <v>0,6413</v>
      </c>
      <c r="F59" s="11" t="s">
        <v>20</v>
      </c>
      <c r="G59" s="11" t="s">
        <v>151</v>
      </c>
      <c r="H59" s="13" t="s">
        <v>144</v>
      </c>
      <c r="I59" s="13" t="s">
        <v>101</v>
      </c>
      <c r="J59" s="12" t="s">
        <v>153</v>
      </c>
      <c r="K59" s="14"/>
      <c r="L59" s="13" t="s">
        <v>118</v>
      </c>
      <c r="M59" s="12" t="s">
        <v>125</v>
      </c>
      <c r="N59" s="13" t="s">
        <v>125</v>
      </c>
      <c r="O59" s="14"/>
      <c r="P59" s="13" t="s">
        <v>250</v>
      </c>
      <c r="Q59" s="13" t="s">
        <v>251</v>
      </c>
      <c r="R59" s="12" t="s">
        <v>252</v>
      </c>
      <c r="S59" s="14"/>
      <c r="T59" s="28" t="str">
        <f>"625,0"</f>
        <v>625,0</v>
      </c>
      <c r="U59" s="14" t="str">
        <f>"400,8125"</f>
        <v>400,8125</v>
      </c>
      <c r="V59" s="11" t="s">
        <v>253</v>
      </c>
    </row>
    <row r="60" spans="1:22" x14ac:dyDescent="0.2">
      <c r="A60" s="17" t="s">
        <v>16</v>
      </c>
      <c r="B60" s="15" t="s">
        <v>254</v>
      </c>
      <c r="C60" s="15" t="s">
        <v>255</v>
      </c>
      <c r="D60" s="15" t="s">
        <v>256</v>
      </c>
      <c r="E60" s="15" t="str">
        <f>"0,6421"</f>
        <v>0,6421</v>
      </c>
      <c r="F60" s="15" t="s">
        <v>20</v>
      </c>
      <c r="G60" s="15" t="s">
        <v>257</v>
      </c>
      <c r="H60" s="16" t="s">
        <v>144</v>
      </c>
      <c r="I60" s="16" t="s">
        <v>101</v>
      </c>
      <c r="J60" s="16" t="s">
        <v>258</v>
      </c>
      <c r="K60" s="17"/>
      <c r="L60" s="18" t="s">
        <v>109</v>
      </c>
      <c r="M60" s="16" t="s">
        <v>109</v>
      </c>
      <c r="N60" s="17"/>
      <c r="O60" s="17"/>
      <c r="P60" s="16" t="s">
        <v>259</v>
      </c>
      <c r="Q60" s="16" t="s">
        <v>260</v>
      </c>
      <c r="R60" s="18" t="s">
        <v>261</v>
      </c>
      <c r="S60" s="17"/>
      <c r="T60" s="32" t="str">
        <f>"690,0"</f>
        <v>690,0</v>
      </c>
      <c r="U60" s="17" t="str">
        <f>"443,0490"</f>
        <v>443,0490</v>
      </c>
      <c r="V60" s="15" t="s">
        <v>59</v>
      </c>
    </row>
    <row r="61" spans="1:22" x14ac:dyDescent="0.2">
      <c r="A61" s="17" t="s">
        <v>60</v>
      </c>
      <c r="B61" s="15" t="s">
        <v>262</v>
      </c>
      <c r="C61" s="15" t="s">
        <v>263</v>
      </c>
      <c r="D61" s="15" t="s">
        <v>264</v>
      </c>
      <c r="E61" s="15" t="str">
        <f>"0,6479"</f>
        <v>0,6479</v>
      </c>
      <c r="F61" s="15" t="s">
        <v>20</v>
      </c>
      <c r="G61" s="15" t="s">
        <v>265</v>
      </c>
      <c r="H61" s="16" t="s">
        <v>144</v>
      </c>
      <c r="I61" s="16" t="s">
        <v>173</v>
      </c>
      <c r="J61" s="16" t="s">
        <v>145</v>
      </c>
      <c r="K61" s="17"/>
      <c r="L61" s="16" t="s">
        <v>109</v>
      </c>
      <c r="M61" s="16" t="s">
        <v>266</v>
      </c>
      <c r="N61" s="18" t="s">
        <v>227</v>
      </c>
      <c r="O61" s="17"/>
      <c r="P61" s="16" t="s">
        <v>153</v>
      </c>
      <c r="Q61" s="18" t="s">
        <v>208</v>
      </c>
      <c r="R61" s="18" t="s">
        <v>208</v>
      </c>
      <c r="S61" s="17"/>
      <c r="T61" s="32" t="str">
        <f>"617,5"</f>
        <v>617,5</v>
      </c>
      <c r="U61" s="17" t="str">
        <f>"400,0782"</f>
        <v>400,0782</v>
      </c>
      <c r="V61" s="15" t="s">
        <v>267</v>
      </c>
    </row>
    <row r="62" spans="1:22" x14ac:dyDescent="0.2">
      <c r="A62" s="17" t="s">
        <v>65</v>
      </c>
      <c r="B62" s="15" t="s">
        <v>268</v>
      </c>
      <c r="C62" s="15" t="s">
        <v>269</v>
      </c>
      <c r="D62" s="15" t="s">
        <v>270</v>
      </c>
      <c r="E62" s="15" t="str">
        <f>"0,6395"</f>
        <v>0,6395</v>
      </c>
      <c r="F62" s="15" t="s">
        <v>20</v>
      </c>
      <c r="G62" s="15" t="s">
        <v>81</v>
      </c>
      <c r="H62" s="16" t="s">
        <v>100</v>
      </c>
      <c r="I62" s="16" t="s">
        <v>223</v>
      </c>
      <c r="J62" s="16" t="s">
        <v>153</v>
      </c>
      <c r="K62" s="17"/>
      <c r="L62" s="16" t="s">
        <v>118</v>
      </c>
      <c r="M62" s="18" t="s">
        <v>136</v>
      </c>
      <c r="N62" s="18" t="s">
        <v>136</v>
      </c>
      <c r="O62" s="17"/>
      <c r="P62" s="16" t="s">
        <v>145</v>
      </c>
      <c r="Q62" s="16" t="s">
        <v>250</v>
      </c>
      <c r="R62" s="18" t="s">
        <v>271</v>
      </c>
      <c r="S62" s="17"/>
      <c r="T62" s="32" t="str">
        <f>"610,0"</f>
        <v>610,0</v>
      </c>
      <c r="U62" s="17" t="str">
        <f>"390,0950"</f>
        <v>390,0950</v>
      </c>
      <c r="V62" s="15" t="s">
        <v>59</v>
      </c>
    </row>
    <row r="63" spans="1:22" x14ac:dyDescent="0.2">
      <c r="A63" s="17" t="s">
        <v>182</v>
      </c>
      <c r="B63" s="15" t="s">
        <v>272</v>
      </c>
      <c r="C63" s="15" t="s">
        <v>273</v>
      </c>
      <c r="D63" s="15" t="s">
        <v>274</v>
      </c>
      <c r="E63" s="15" t="str">
        <f>"0,6424"</f>
        <v>0,6424</v>
      </c>
      <c r="F63" s="15" t="s">
        <v>20</v>
      </c>
      <c r="G63" s="15" t="s">
        <v>69</v>
      </c>
      <c r="H63" s="16" t="s">
        <v>124</v>
      </c>
      <c r="I63" s="16" t="s">
        <v>100</v>
      </c>
      <c r="J63" s="18" t="s">
        <v>213</v>
      </c>
      <c r="K63" s="17"/>
      <c r="L63" s="16" t="s">
        <v>237</v>
      </c>
      <c r="M63" s="16" t="s">
        <v>91</v>
      </c>
      <c r="N63" s="18" t="s">
        <v>125</v>
      </c>
      <c r="O63" s="17"/>
      <c r="P63" s="16" t="s">
        <v>250</v>
      </c>
      <c r="Q63" s="16" t="s">
        <v>154</v>
      </c>
      <c r="R63" s="18" t="s">
        <v>251</v>
      </c>
      <c r="S63" s="17"/>
      <c r="T63" s="32" t="str">
        <f>"597,5"</f>
        <v>597,5</v>
      </c>
      <c r="U63" s="17" t="str">
        <f>"383,8340"</f>
        <v>383,8340</v>
      </c>
      <c r="V63" s="15" t="s">
        <v>275</v>
      </c>
    </row>
    <row r="64" spans="1:22" x14ac:dyDescent="0.2">
      <c r="A64" s="17" t="s">
        <v>276</v>
      </c>
      <c r="B64" s="15" t="s">
        <v>277</v>
      </c>
      <c r="C64" s="15" t="s">
        <v>278</v>
      </c>
      <c r="D64" s="15" t="s">
        <v>274</v>
      </c>
      <c r="E64" s="15" t="str">
        <f>"0,6424"</f>
        <v>0,6424</v>
      </c>
      <c r="F64" s="15" t="s">
        <v>20</v>
      </c>
      <c r="G64" s="15" t="s">
        <v>279</v>
      </c>
      <c r="H64" s="16" t="s">
        <v>137</v>
      </c>
      <c r="I64" s="18" t="s">
        <v>166</v>
      </c>
      <c r="J64" s="18" t="s">
        <v>166</v>
      </c>
      <c r="K64" s="17"/>
      <c r="L64" s="16" t="s">
        <v>116</v>
      </c>
      <c r="M64" s="18" t="s">
        <v>130</v>
      </c>
      <c r="N64" s="18" t="s">
        <v>130</v>
      </c>
      <c r="O64" s="17"/>
      <c r="P64" s="16" t="s">
        <v>143</v>
      </c>
      <c r="Q64" s="18" t="s">
        <v>144</v>
      </c>
      <c r="R64" s="16" t="s">
        <v>144</v>
      </c>
      <c r="S64" s="17"/>
      <c r="T64" s="32" t="str">
        <f>"505,0"</f>
        <v>505,0</v>
      </c>
      <c r="U64" s="17" t="str">
        <f>"324,4120"</f>
        <v>324,4120</v>
      </c>
      <c r="V64" s="15" t="s">
        <v>280</v>
      </c>
    </row>
    <row r="65" spans="1:22" x14ac:dyDescent="0.2">
      <c r="A65" s="17" t="s">
        <v>281</v>
      </c>
      <c r="B65" s="15" t="s">
        <v>282</v>
      </c>
      <c r="C65" s="15" t="s">
        <v>283</v>
      </c>
      <c r="D65" s="15" t="s">
        <v>284</v>
      </c>
      <c r="E65" s="15" t="str">
        <f>"0,6455"</f>
        <v>0,6455</v>
      </c>
      <c r="F65" s="15" t="s">
        <v>20</v>
      </c>
      <c r="G65" s="15" t="s">
        <v>69</v>
      </c>
      <c r="H65" s="16" t="s">
        <v>83</v>
      </c>
      <c r="I65" s="16" t="s">
        <v>125</v>
      </c>
      <c r="J65" s="18" t="s">
        <v>109</v>
      </c>
      <c r="K65" s="17"/>
      <c r="L65" s="16" t="s">
        <v>82</v>
      </c>
      <c r="M65" s="16" t="s">
        <v>107</v>
      </c>
      <c r="N65" s="18" t="s">
        <v>88</v>
      </c>
      <c r="O65" s="17"/>
      <c r="P65" s="18" t="s">
        <v>143</v>
      </c>
      <c r="Q65" s="16" t="s">
        <v>144</v>
      </c>
      <c r="R65" s="16" t="s">
        <v>145</v>
      </c>
      <c r="S65" s="17"/>
      <c r="T65" s="32" t="str">
        <f>"485,0"</f>
        <v>485,0</v>
      </c>
      <c r="U65" s="17" t="str">
        <f>"313,0675"</f>
        <v>313,0675</v>
      </c>
      <c r="V65" s="15" t="s">
        <v>59</v>
      </c>
    </row>
    <row r="66" spans="1:22" x14ac:dyDescent="0.2">
      <c r="A66" s="17" t="s">
        <v>285</v>
      </c>
      <c r="B66" s="15" t="s">
        <v>286</v>
      </c>
      <c r="C66" s="15" t="s">
        <v>287</v>
      </c>
      <c r="D66" s="15" t="s">
        <v>288</v>
      </c>
      <c r="E66" s="15" t="str">
        <f>"0,6467"</f>
        <v>0,6467</v>
      </c>
      <c r="F66" s="15" t="s">
        <v>20</v>
      </c>
      <c r="G66" s="15" t="s">
        <v>69</v>
      </c>
      <c r="H66" s="16" t="s">
        <v>136</v>
      </c>
      <c r="I66" s="16" t="s">
        <v>98</v>
      </c>
      <c r="J66" s="18" t="s">
        <v>137</v>
      </c>
      <c r="K66" s="17"/>
      <c r="L66" s="16" t="s">
        <v>116</v>
      </c>
      <c r="M66" s="16" t="s">
        <v>58</v>
      </c>
      <c r="N66" s="18" t="s">
        <v>118</v>
      </c>
      <c r="O66" s="17"/>
      <c r="P66" s="18" t="s">
        <v>99</v>
      </c>
      <c r="Q66" s="18" t="s">
        <v>99</v>
      </c>
      <c r="R66" s="16" t="s">
        <v>123</v>
      </c>
      <c r="S66" s="17"/>
      <c r="T66" s="32" t="str">
        <f>"470,0"</f>
        <v>470,0</v>
      </c>
      <c r="U66" s="17" t="str">
        <f>"303,9490"</f>
        <v>303,9490</v>
      </c>
      <c r="V66" s="15" t="s">
        <v>59</v>
      </c>
    </row>
    <row r="67" spans="1:22" x14ac:dyDescent="0.2">
      <c r="A67" s="17" t="s">
        <v>186</v>
      </c>
      <c r="B67" s="15" t="s">
        <v>289</v>
      </c>
      <c r="C67" s="15" t="s">
        <v>290</v>
      </c>
      <c r="D67" s="15" t="s">
        <v>288</v>
      </c>
      <c r="E67" s="15" t="str">
        <f>"0,6467"</f>
        <v>0,6467</v>
      </c>
      <c r="F67" s="15" t="s">
        <v>20</v>
      </c>
      <c r="G67" s="15" t="s">
        <v>291</v>
      </c>
      <c r="H67" s="18" t="s">
        <v>99</v>
      </c>
      <c r="I67" s="18" t="s">
        <v>99</v>
      </c>
      <c r="J67" s="18" t="s">
        <v>123</v>
      </c>
      <c r="K67" s="17"/>
      <c r="L67" s="18"/>
      <c r="M67" s="17"/>
      <c r="N67" s="17"/>
      <c r="O67" s="17"/>
      <c r="P67" s="18"/>
      <c r="Q67" s="17"/>
      <c r="R67" s="17"/>
      <c r="S67" s="17"/>
      <c r="T67" s="32">
        <v>0</v>
      </c>
      <c r="U67" s="17" t="str">
        <f>"0,0000"</f>
        <v>0,0000</v>
      </c>
      <c r="V67" s="15" t="s">
        <v>59</v>
      </c>
    </row>
    <row r="68" spans="1:22" x14ac:dyDescent="0.2">
      <c r="A68" s="21" t="s">
        <v>16</v>
      </c>
      <c r="B68" s="19" t="s">
        <v>292</v>
      </c>
      <c r="C68" s="19" t="s">
        <v>293</v>
      </c>
      <c r="D68" s="19" t="s">
        <v>294</v>
      </c>
      <c r="E68" s="19" t="str">
        <f>"0,6388"</f>
        <v>0,6388</v>
      </c>
      <c r="F68" s="19" t="s">
        <v>20</v>
      </c>
      <c r="G68" s="19" t="s">
        <v>196</v>
      </c>
      <c r="H68" s="22" t="s">
        <v>136</v>
      </c>
      <c r="I68" s="20" t="s">
        <v>136</v>
      </c>
      <c r="J68" s="20" t="s">
        <v>99</v>
      </c>
      <c r="K68" s="21"/>
      <c r="L68" s="20" t="s">
        <v>82</v>
      </c>
      <c r="M68" s="20" t="s">
        <v>116</v>
      </c>
      <c r="N68" s="22" t="s">
        <v>90</v>
      </c>
      <c r="O68" s="21"/>
      <c r="P68" s="20" t="s">
        <v>143</v>
      </c>
      <c r="Q68" s="20" t="s">
        <v>144</v>
      </c>
      <c r="R68" s="20" t="s">
        <v>101</v>
      </c>
      <c r="S68" s="21"/>
      <c r="T68" s="29" t="str">
        <f>"510,0"</f>
        <v>510,0</v>
      </c>
      <c r="U68" s="21" t="str">
        <f>"345,3353"</f>
        <v>345,3353</v>
      </c>
      <c r="V68" s="19" t="s">
        <v>59</v>
      </c>
    </row>
    <row r="69" spans="1:22" x14ac:dyDescent="0.2">
      <c r="B69" s="5" t="s">
        <v>38</v>
      </c>
    </row>
    <row r="70" spans="1:22" ht="15" x14ac:dyDescent="0.2">
      <c r="A70" s="81" t="s">
        <v>295</v>
      </c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</row>
    <row r="71" spans="1:22" x14ac:dyDescent="0.2">
      <c r="A71" s="14" t="s">
        <v>16</v>
      </c>
      <c r="B71" s="11" t="s">
        <v>296</v>
      </c>
      <c r="C71" s="11" t="s">
        <v>297</v>
      </c>
      <c r="D71" s="11" t="s">
        <v>298</v>
      </c>
      <c r="E71" s="11" t="str">
        <f>"0,6111"</f>
        <v>0,6111</v>
      </c>
      <c r="F71" s="11" t="s">
        <v>299</v>
      </c>
      <c r="G71" s="11" t="s">
        <v>300</v>
      </c>
      <c r="H71" s="13" t="s">
        <v>251</v>
      </c>
      <c r="I71" s="13" t="s">
        <v>252</v>
      </c>
      <c r="J71" s="12" t="s">
        <v>301</v>
      </c>
      <c r="K71" s="14"/>
      <c r="L71" s="13" t="s">
        <v>98</v>
      </c>
      <c r="M71" s="13" t="s">
        <v>99</v>
      </c>
      <c r="N71" s="13" t="s">
        <v>228</v>
      </c>
      <c r="O71" s="14"/>
      <c r="P71" s="13" t="s">
        <v>252</v>
      </c>
      <c r="Q71" s="13" t="s">
        <v>302</v>
      </c>
      <c r="R71" s="12" t="s">
        <v>259</v>
      </c>
      <c r="S71" s="14"/>
      <c r="T71" s="28" t="str">
        <f>"727,5"</f>
        <v>727,5</v>
      </c>
      <c r="U71" s="14" t="str">
        <f>"444,5753"</f>
        <v>444,5753</v>
      </c>
      <c r="V71" s="11" t="s">
        <v>303</v>
      </c>
    </row>
    <row r="72" spans="1:22" x14ac:dyDescent="0.2">
      <c r="A72" s="17" t="s">
        <v>60</v>
      </c>
      <c r="B72" s="15" t="s">
        <v>304</v>
      </c>
      <c r="C72" s="15" t="s">
        <v>305</v>
      </c>
      <c r="D72" s="15" t="s">
        <v>306</v>
      </c>
      <c r="E72" s="15" t="str">
        <f>"0,6123"</f>
        <v>0,6123</v>
      </c>
      <c r="F72" s="15" t="s">
        <v>171</v>
      </c>
      <c r="G72" s="15" t="s">
        <v>307</v>
      </c>
      <c r="H72" s="16" t="s">
        <v>143</v>
      </c>
      <c r="I72" s="18" t="s">
        <v>144</v>
      </c>
      <c r="J72" s="16" t="s">
        <v>144</v>
      </c>
      <c r="K72" s="17"/>
      <c r="L72" s="16" t="s">
        <v>125</v>
      </c>
      <c r="M72" s="16" t="s">
        <v>109</v>
      </c>
      <c r="N72" s="18" t="s">
        <v>98</v>
      </c>
      <c r="O72" s="17"/>
      <c r="P72" s="16" t="s">
        <v>101</v>
      </c>
      <c r="Q72" s="16" t="s">
        <v>250</v>
      </c>
      <c r="R72" s="18" t="s">
        <v>154</v>
      </c>
      <c r="S72" s="17"/>
      <c r="T72" s="32" t="str">
        <f>"605,0"</f>
        <v>605,0</v>
      </c>
      <c r="U72" s="17" t="str">
        <f>"370,4415"</f>
        <v>370,4415</v>
      </c>
      <c r="V72" s="15" t="s">
        <v>59</v>
      </c>
    </row>
    <row r="73" spans="1:22" x14ac:dyDescent="0.2">
      <c r="A73" s="17" t="s">
        <v>65</v>
      </c>
      <c r="B73" s="15" t="s">
        <v>308</v>
      </c>
      <c r="C73" s="15" t="s">
        <v>309</v>
      </c>
      <c r="D73" s="15" t="s">
        <v>310</v>
      </c>
      <c r="E73" s="15" t="str">
        <f>"0,6155"</f>
        <v>0,6155</v>
      </c>
      <c r="F73" s="15" t="s">
        <v>20</v>
      </c>
      <c r="G73" s="15" t="s">
        <v>311</v>
      </c>
      <c r="H73" s="16" t="s">
        <v>124</v>
      </c>
      <c r="I73" s="16" t="s">
        <v>143</v>
      </c>
      <c r="J73" s="18" t="s">
        <v>144</v>
      </c>
      <c r="K73" s="17"/>
      <c r="L73" s="16" t="s">
        <v>91</v>
      </c>
      <c r="M73" s="18" t="s">
        <v>312</v>
      </c>
      <c r="N73" s="17"/>
      <c r="O73" s="17"/>
      <c r="P73" s="16" t="s">
        <v>153</v>
      </c>
      <c r="Q73" s="18" t="s">
        <v>313</v>
      </c>
      <c r="R73" s="17"/>
      <c r="S73" s="17"/>
      <c r="T73" s="32" t="str">
        <f>"572,5"</f>
        <v>572,5</v>
      </c>
      <c r="U73" s="17" t="str">
        <f>"352,3737"</f>
        <v>352,3737</v>
      </c>
      <c r="V73" s="15" t="s">
        <v>59</v>
      </c>
    </row>
    <row r="74" spans="1:22" x14ac:dyDescent="0.2">
      <c r="A74" s="17" t="s">
        <v>182</v>
      </c>
      <c r="B74" s="15" t="s">
        <v>314</v>
      </c>
      <c r="C74" s="15" t="s">
        <v>315</v>
      </c>
      <c r="D74" s="15" t="s">
        <v>316</v>
      </c>
      <c r="E74" s="15" t="str">
        <f>"0,6276"</f>
        <v>0,6276</v>
      </c>
      <c r="F74" s="15" t="s">
        <v>20</v>
      </c>
      <c r="G74" s="15" t="s">
        <v>317</v>
      </c>
      <c r="H74" s="16" t="s">
        <v>123</v>
      </c>
      <c r="I74" s="16" t="s">
        <v>124</v>
      </c>
      <c r="J74" s="16" t="s">
        <v>143</v>
      </c>
      <c r="K74" s="17"/>
      <c r="L74" s="16" t="s">
        <v>136</v>
      </c>
      <c r="M74" s="18" t="s">
        <v>109</v>
      </c>
      <c r="N74" s="18" t="s">
        <v>109</v>
      </c>
      <c r="O74" s="17"/>
      <c r="P74" s="16" t="s">
        <v>143</v>
      </c>
      <c r="Q74" s="18" t="s">
        <v>144</v>
      </c>
      <c r="R74" s="16" t="s">
        <v>223</v>
      </c>
      <c r="S74" s="17"/>
      <c r="T74" s="32" t="str">
        <f>"565,0"</f>
        <v>565,0</v>
      </c>
      <c r="U74" s="17" t="str">
        <f>"354,5940"</f>
        <v>354,5940</v>
      </c>
      <c r="V74" s="15" t="s">
        <v>59</v>
      </c>
    </row>
    <row r="75" spans="1:22" x14ac:dyDescent="0.2">
      <c r="A75" s="21" t="s">
        <v>276</v>
      </c>
      <c r="B75" s="19" t="s">
        <v>318</v>
      </c>
      <c r="C75" s="19" t="s">
        <v>319</v>
      </c>
      <c r="D75" s="19" t="s">
        <v>320</v>
      </c>
      <c r="E75" s="19" t="str">
        <f>"0,6152"</f>
        <v>0,6152</v>
      </c>
      <c r="F75" s="19" t="s">
        <v>20</v>
      </c>
      <c r="G75" s="19" t="s">
        <v>321</v>
      </c>
      <c r="H75" s="22" t="s">
        <v>110</v>
      </c>
      <c r="I75" s="22" t="s">
        <v>110</v>
      </c>
      <c r="J75" s="20" t="s">
        <v>110</v>
      </c>
      <c r="K75" s="21"/>
      <c r="L75" s="20" t="s">
        <v>125</v>
      </c>
      <c r="M75" s="22" t="s">
        <v>322</v>
      </c>
      <c r="N75" s="20" t="s">
        <v>109</v>
      </c>
      <c r="O75" s="21"/>
      <c r="P75" s="20" t="s">
        <v>99</v>
      </c>
      <c r="Q75" s="22" t="s">
        <v>166</v>
      </c>
      <c r="R75" s="20" t="s">
        <v>143</v>
      </c>
      <c r="S75" s="21"/>
      <c r="T75" s="29" t="str">
        <f>"520,0"</f>
        <v>520,0</v>
      </c>
      <c r="U75" s="21" t="str">
        <f>"319,9040"</f>
        <v>319,9040</v>
      </c>
      <c r="V75" s="19" t="s">
        <v>59</v>
      </c>
    </row>
    <row r="76" spans="1:22" x14ac:dyDescent="0.2">
      <c r="B76" s="5" t="s">
        <v>38</v>
      </c>
    </row>
    <row r="77" spans="1:22" ht="15" x14ac:dyDescent="0.2">
      <c r="A77" s="81" t="s">
        <v>323</v>
      </c>
      <c r="B77" s="8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</row>
    <row r="78" spans="1:22" x14ac:dyDescent="0.2">
      <c r="A78" s="14" t="s">
        <v>16</v>
      </c>
      <c r="B78" s="11" t="s">
        <v>176</v>
      </c>
      <c r="C78" s="11" t="s">
        <v>324</v>
      </c>
      <c r="D78" s="11" t="s">
        <v>325</v>
      </c>
      <c r="E78" s="11" t="str">
        <f>"0,5930"</f>
        <v>0,5930</v>
      </c>
      <c r="F78" s="11" t="s">
        <v>20</v>
      </c>
      <c r="G78" s="11" t="s">
        <v>69</v>
      </c>
      <c r="H78" s="13" t="s">
        <v>123</v>
      </c>
      <c r="I78" s="13" t="s">
        <v>124</v>
      </c>
      <c r="J78" s="13" t="s">
        <v>160</v>
      </c>
      <c r="K78" s="14"/>
      <c r="L78" s="13" t="s">
        <v>58</v>
      </c>
      <c r="M78" s="13" t="s">
        <v>83</v>
      </c>
      <c r="N78" s="13" t="s">
        <v>118</v>
      </c>
      <c r="O78" s="14"/>
      <c r="P78" s="13" t="s">
        <v>124</v>
      </c>
      <c r="Q78" s="13" t="s">
        <v>143</v>
      </c>
      <c r="R78" s="12" t="s">
        <v>144</v>
      </c>
      <c r="S78" s="14"/>
      <c r="T78" s="28" t="str">
        <f>"535,0"</f>
        <v>535,0</v>
      </c>
      <c r="U78" s="14" t="str">
        <f>"317,2550"</f>
        <v>317,2550</v>
      </c>
      <c r="V78" s="11" t="s">
        <v>71</v>
      </c>
    </row>
    <row r="79" spans="1:22" x14ac:dyDescent="0.2">
      <c r="A79" s="17" t="s">
        <v>16</v>
      </c>
      <c r="B79" s="15" t="s">
        <v>326</v>
      </c>
      <c r="C79" s="15" t="s">
        <v>327</v>
      </c>
      <c r="D79" s="15" t="s">
        <v>328</v>
      </c>
      <c r="E79" s="15" t="str">
        <f>"0,6032"</f>
        <v>0,6032</v>
      </c>
      <c r="F79" s="15" t="s">
        <v>20</v>
      </c>
      <c r="G79" s="15" t="s">
        <v>135</v>
      </c>
      <c r="H79" s="16" t="s">
        <v>101</v>
      </c>
      <c r="I79" s="16" t="s">
        <v>250</v>
      </c>
      <c r="J79" s="18" t="s">
        <v>154</v>
      </c>
      <c r="K79" s="17"/>
      <c r="L79" s="16" t="s">
        <v>99</v>
      </c>
      <c r="M79" s="18" t="s">
        <v>123</v>
      </c>
      <c r="N79" s="18" t="s">
        <v>123</v>
      </c>
      <c r="O79" s="17"/>
      <c r="P79" s="16" t="s">
        <v>153</v>
      </c>
      <c r="Q79" s="16" t="s">
        <v>154</v>
      </c>
      <c r="R79" s="18" t="s">
        <v>155</v>
      </c>
      <c r="S79" s="17"/>
      <c r="T79" s="32" t="str">
        <f>"660,0"</f>
        <v>660,0</v>
      </c>
      <c r="U79" s="17" t="str">
        <f>"398,1120"</f>
        <v>398,1120</v>
      </c>
      <c r="V79" s="15" t="s">
        <v>329</v>
      </c>
    </row>
    <row r="80" spans="1:22" x14ac:dyDescent="0.2">
      <c r="A80" s="21" t="s">
        <v>16</v>
      </c>
      <c r="B80" s="19" t="s">
        <v>330</v>
      </c>
      <c r="C80" s="19" t="s">
        <v>331</v>
      </c>
      <c r="D80" s="19" t="s">
        <v>332</v>
      </c>
      <c r="E80" s="19" t="str">
        <f>"0,5910"</f>
        <v>0,5910</v>
      </c>
      <c r="F80" s="19" t="s">
        <v>20</v>
      </c>
      <c r="G80" s="19" t="s">
        <v>279</v>
      </c>
      <c r="H80" s="20" t="s">
        <v>101</v>
      </c>
      <c r="I80" s="22" t="s">
        <v>208</v>
      </c>
      <c r="J80" s="22" t="s">
        <v>208</v>
      </c>
      <c r="K80" s="21"/>
      <c r="L80" s="20" t="s">
        <v>118</v>
      </c>
      <c r="M80" s="20" t="s">
        <v>136</v>
      </c>
      <c r="N80" s="20" t="s">
        <v>98</v>
      </c>
      <c r="O80" s="21"/>
      <c r="P80" s="20" t="s">
        <v>143</v>
      </c>
      <c r="Q80" s="20" t="s">
        <v>144</v>
      </c>
      <c r="R80" s="22" t="s">
        <v>101</v>
      </c>
      <c r="S80" s="21"/>
      <c r="T80" s="29" t="str">
        <f>"590,0"</f>
        <v>590,0</v>
      </c>
      <c r="U80" s="21" t="str">
        <f>"364,0324"</f>
        <v>364,0324</v>
      </c>
      <c r="V80" s="19" t="s">
        <v>59</v>
      </c>
    </row>
    <row r="81" spans="1:22" x14ac:dyDescent="0.2">
      <c r="B81" s="5" t="s">
        <v>38</v>
      </c>
    </row>
    <row r="82" spans="1:22" ht="15" x14ac:dyDescent="0.2">
      <c r="A82" s="81" t="s">
        <v>333</v>
      </c>
      <c r="B82" s="81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2" x14ac:dyDescent="0.2">
      <c r="A83" s="14" t="s">
        <v>16</v>
      </c>
      <c r="B83" s="11" t="s">
        <v>334</v>
      </c>
      <c r="C83" s="11" t="s">
        <v>335</v>
      </c>
      <c r="D83" s="11" t="s">
        <v>336</v>
      </c>
      <c r="E83" s="11" t="str">
        <f>"0,5786"</f>
        <v>0,5786</v>
      </c>
      <c r="F83" s="11" t="s">
        <v>20</v>
      </c>
      <c r="G83" s="11" t="s">
        <v>337</v>
      </c>
      <c r="H83" s="13" t="s">
        <v>154</v>
      </c>
      <c r="I83" s="12" t="s">
        <v>251</v>
      </c>
      <c r="J83" s="12" t="s">
        <v>251</v>
      </c>
      <c r="K83" s="14"/>
      <c r="L83" s="13" t="s">
        <v>98</v>
      </c>
      <c r="M83" s="12" t="s">
        <v>99</v>
      </c>
      <c r="N83" s="12" t="s">
        <v>99</v>
      </c>
      <c r="O83" s="14"/>
      <c r="P83" s="13" t="s">
        <v>154</v>
      </c>
      <c r="Q83" s="12" t="s">
        <v>175</v>
      </c>
      <c r="R83" s="14"/>
      <c r="S83" s="14"/>
      <c r="T83" s="28" t="str">
        <f>"660,0"</f>
        <v>660,0</v>
      </c>
      <c r="U83" s="14" t="str">
        <f>"381,8760"</f>
        <v>381,8760</v>
      </c>
      <c r="V83" s="11" t="s">
        <v>338</v>
      </c>
    </row>
    <row r="84" spans="1:22" x14ac:dyDescent="0.2">
      <c r="A84" s="21" t="s">
        <v>16</v>
      </c>
      <c r="B84" s="19" t="s">
        <v>334</v>
      </c>
      <c r="C84" s="19" t="s">
        <v>339</v>
      </c>
      <c r="D84" s="19" t="s">
        <v>336</v>
      </c>
      <c r="E84" s="19" t="str">
        <f>"0,5786"</f>
        <v>0,5786</v>
      </c>
      <c r="F84" s="19" t="s">
        <v>20</v>
      </c>
      <c r="G84" s="19" t="s">
        <v>337</v>
      </c>
      <c r="H84" s="20" t="s">
        <v>154</v>
      </c>
      <c r="I84" s="22" t="s">
        <v>251</v>
      </c>
      <c r="J84" s="22" t="s">
        <v>251</v>
      </c>
      <c r="K84" s="21"/>
      <c r="L84" s="20" t="s">
        <v>98</v>
      </c>
      <c r="M84" s="22" t="s">
        <v>99</v>
      </c>
      <c r="N84" s="22" t="s">
        <v>99</v>
      </c>
      <c r="O84" s="21"/>
      <c r="P84" s="20" t="s">
        <v>154</v>
      </c>
      <c r="Q84" s="22" t="s">
        <v>175</v>
      </c>
      <c r="R84" s="21"/>
      <c r="S84" s="21"/>
      <c r="T84" s="29" t="str">
        <f>"660,0"</f>
        <v>660,0</v>
      </c>
      <c r="U84" s="21" t="str">
        <f>"381,8760"</f>
        <v>381,8760</v>
      </c>
      <c r="V84" s="19" t="s">
        <v>338</v>
      </c>
    </row>
    <row r="85" spans="1:22" x14ac:dyDescent="0.2">
      <c r="B85" s="5" t="s">
        <v>38</v>
      </c>
    </row>
    <row r="86" spans="1:22" ht="15" x14ac:dyDescent="0.2">
      <c r="B86" s="5" t="s">
        <v>38</v>
      </c>
      <c r="F86" s="23"/>
    </row>
    <row r="87" spans="1:22" x14ac:dyDescent="0.2">
      <c r="B87" s="5" t="s">
        <v>38</v>
      </c>
    </row>
    <row r="88" spans="1:22" ht="18" x14ac:dyDescent="0.2">
      <c r="B88" s="24" t="s">
        <v>340</v>
      </c>
      <c r="C88" s="24"/>
      <c r="G88" s="3"/>
    </row>
    <row r="89" spans="1:22" ht="15" x14ac:dyDescent="0.2">
      <c r="B89" s="73" t="s">
        <v>341</v>
      </c>
      <c r="C89" s="73"/>
      <c r="G89" s="3"/>
    </row>
    <row r="90" spans="1:22" ht="14.25" x14ac:dyDescent="0.2">
      <c r="B90" s="25"/>
      <c r="C90" s="25" t="s">
        <v>342</v>
      </c>
      <c r="G90" s="3"/>
    </row>
    <row r="91" spans="1:22" ht="15" x14ac:dyDescent="0.2">
      <c r="B91" s="4" t="s">
        <v>343</v>
      </c>
      <c r="C91" s="4" t="s">
        <v>344</v>
      </c>
      <c r="D91" s="4" t="s">
        <v>345</v>
      </c>
      <c r="E91" s="4" t="s">
        <v>346</v>
      </c>
      <c r="F91" s="4" t="s">
        <v>347</v>
      </c>
      <c r="G91" s="3"/>
    </row>
    <row r="92" spans="1:22" x14ac:dyDescent="0.2">
      <c r="B92" s="5" t="s">
        <v>139</v>
      </c>
      <c r="C92" s="5" t="s">
        <v>348</v>
      </c>
      <c r="D92" s="6" t="s">
        <v>349</v>
      </c>
      <c r="E92" s="6" t="s">
        <v>350</v>
      </c>
      <c r="F92" s="6" t="s">
        <v>351</v>
      </c>
      <c r="G92" s="3"/>
    </row>
    <row r="93" spans="1:22" x14ac:dyDescent="0.2">
      <c r="B93" s="5" t="s">
        <v>247</v>
      </c>
      <c r="C93" s="5" t="s">
        <v>348</v>
      </c>
      <c r="D93" s="6" t="s">
        <v>352</v>
      </c>
      <c r="E93" s="6" t="s">
        <v>353</v>
      </c>
      <c r="F93" s="6" t="s">
        <v>354</v>
      </c>
      <c r="G93" s="3"/>
    </row>
    <row r="94" spans="1:22" x14ac:dyDescent="0.2">
      <c r="B94" s="5" t="s">
        <v>193</v>
      </c>
      <c r="C94" s="5" t="s">
        <v>348</v>
      </c>
      <c r="D94" s="6" t="s">
        <v>355</v>
      </c>
      <c r="E94" s="6" t="s">
        <v>356</v>
      </c>
      <c r="F94" s="6" t="s">
        <v>357</v>
      </c>
      <c r="G94" s="3"/>
    </row>
    <row r="95" spans="1:22" x14ac:dyDescent="0.2">
      <c r="G95" s="3"/>
    </row>
    <row r="96" spans="1:22" ht="14.25" x14ac:dyDescent="0.2">
      <c r="B96" s="25"/>
      <c r="C96" s="25" t="s">
        <v>358</v>
      </c>
      <c r="G96" s="3"/>
    </row>
    <row r="97" spans="2:7" ht="15" x14ac:dyDescent="0.2">
      <c r="B97" s="4" t="s">
        <v>343</v>
      </c>
      <c r="C97" s="4" t="s">
        <v>344</v>
      </c>
      <c r="D97" s="4" t="s">
        <v>345</v>
      </c>
      <c r="E97" s="4" t="s">
        <v>346</v>
      </c>
      <c r="F97" s="4" t="s">
        <v>347</v>
      </c>
      <c r="G97" s="3"/>
    </row>
    <row r="98" spans="2:7" x14ac:dyDescent="0.2">
      <c r="B98" s="5" t="s">
        <v>296</v>
      </c>
      <c r="C98" s="5" t="s">
        <v>358</v>
      </c>
      <c r="D98" s="6" t="s">
        <v>359</v>
      </c>
      <c r="E98" s="6" t="s">
        <v>360</v>
      </c>
      <c r="F98" s="6" t="s">
        <v>361</v>
      </c>
      <c r="G98" s="3"/>
    </row>
    <row r="99" spans="2:7" x14ac:dyDescent="0.2">
      <c r="B99" s="5" t="s">
        <v>254</v>
      </c>
      <c r="C99" s="5" t="s">
        <v>358</v>
      </c>
      <c r="D99" s="6" t="s">
        <v>352</v>
      </c>
      <c r="E99" s="6" t="s">
        <v>362</v>
      </c>
      <c r="F99" s="6" t="s">
        <v>363</v>
      </c>
      <c r="G99" s="3"/>
    </row>
    <row r="100" spans="2:7" x14ac:dyDescent="0.2">
      <c r="B100" s="5" t="s">
        <v>218</v>
      </c>
      <c r="C100" s="5" t="s">
        <v>358</v>
      </c>
      <c r="D100" s="6" t="s">
        <v>355</v>
      </c>
      <c r="E100" s="6" t="s">
        <v>364</v>
      </c>
      <c r="F100" s="6" t="s">
        <v>365</v>
      </c>
      <c r="G100" s="3"/>
    </row>
    <row r="101" spans="2:7" x14ac:dyDescent="0.2">
      <c r="B101" s="5" t="s">
        <v>38</v>
      </c>
    </row>
  </sheetData>
  <mergeCells count="26">
    <mergeCell ref="A70:U70"/>
    <mergeCell ref="A77:U77"/>
    <mergeCell ref="A82:U82"/>
    <mergeCell ref="B3:B4"/>
    <mergeCell ref="A18:U18"/>
    <mergeCell ref="A22:U22"/>
    <mergeCell ref="A28:U28"/>
    <mergeCell ref="A33:U33"/>
    <mergeCell ref="A45:U45"/>
    <mergeCell ref="A58:U58"/>
    <mergeCell ref="T3:T4"/>
    <mergeCell ref="U3:U4"/>
    <mergeCell ref="V3:V4"/>
    <mergeCell ref="A5:U5"/>
    <mergeCell ref="A9:U9"/>
    <mergeCell ref="A12:U12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18"/>
  <sheetViews>
    <sheetView workbookViewId="0">
      <selection sqref="A1:N2"/>
    </sheetView>
  </sheetViews>
  <sheetFormatPr defaultColWidth="9.140625" defaultRowHeight="12.75" x14ac:dyDescent="0.2"/>
  <cols>
    <col min="1" max="1" width="7.42578125" style="6" bestFit="1" customWidth="1"/>
    <col min="2" max="2" width="20.425781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1.42578125" style="5" customWidth="1"/>
    <col min="7" max="7" width="22.7109375" style="5" customWidth="1"/>
    <col min="8" max="10" width="5.42578125" style="6" bestFit="1" customWidth="1"/>
    <col min="11" max="11" width="4.85546875" style="6" bestFit="1" customWidth="1"/>
    <col min="12" max="12" width="11.28515625" style="6" bestFit="1" customWidth="1"/>
    <col min="13" max="13" width="8.42578125" style="6" bestFit="1" customWidth="1"/>
    <col min="14" max="14" width="19.85546875" style="5" bestFit="1" customWidth="1"/>
    <col min="15" max="16384" width="9.140625" style="3"/>
  </cols>
  <sheetData>
    <row r="1" spans="1:14" s="2" customFormat="1" ht="29.1" customHeight="1" x14ac:dyDescent="0.2">
      <c r="A1" s="83" t="s">
        <v>1455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4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3"/>
      <c r="M4" s="93"/>
      <c r="N4" s="78"/>
    </row>
    <row r="5" spans="1:14" ht="15" x14ac:dyDescent="0.2">
      <c r="A5" s="79" t="s">
        <v>192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0" t="s">
        <v>16</v>
      </c>
      <c r="B6" s="7" t="s">
        <v>1451</v>
      </c>
      <c r="C6" s="7" t="s">
        <v>1452</v>
      </c>
      <c r="D6" s="7" t="s">
        <v>1453</v>
      </c>
      <c r="E6" s="7" t="str">
        <f>"0,6888"</f>
        <v>0,6888</v>
      </c>
      <c r="F6" s="7" t="s">
        <v>20</v>
      </c>
      <c r="G6" s="7" t="s">
        <v>1456</v>
      </c>
      <c r="H6" s="9" t="s">
        <v>166</v>
      </c>
      <c r="I6" s="8" t="s">
        <v>166</v>
      </c>
      <c r="J6" s="8" t="s">
        <v>124</v>
      </c>
      <c r="K6" s="10"/>
      <c r="L6" s="10" t="str">
        <f>"190,0"</f>
        <v>190,0</v>
      </c>
      <c r="M6" s="10" t="str">
        <f>"130,8720"</f>
        <v>130,8720</v>
      </c>
      <c r="N6" s="7" t="s">
        <v>59</v>
      </c>
    </row>
    <row r="7" spans="1:14" x14ac:dyDescent="0.2">
      <c r="B7" s="5" t="s">
        <v>38</v>
      </c>
    </row>
    <row r="8" spans="1:14" ht="15" x14ac:dyDescent="0.2">
      <c r="A8" s="81" t="s">
        <v>295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x14ac:dyDescent="0.2">
      <c r="A9" s="14" t="s">
        <v>16</v>
      </c>
      <c r="B9" s="11" t="s">
        <v>1457</v>
      </c>
      <c r="C9" s="11" t="s">
        <v>1458</v>
      </c>
      <c r="D9" s="11" t="s">
        <v>298</v>
      </c>
      <c r="E9" s="11" t="str">
        <f>"0,6111"</f>
        <v>0,6111</v>
      </c>
      <c r="F9" s="11" t="s">
        <v>20</v>
      </c>
      <c r="G9" s="11" t="s">
        <v>1459</v>
      </c>
      <c r="H9" s="12" t="s">
        <v>154</v>
      </c>
      <c r="I9" s="12" t="s">
        <v>175</v>
      </c>
      <c r="J9" s="13" t="s">
        <v>175</v>
      </c>
      <c r="K9" s="14"/>
      <c r="L9" s="14" t="str">
        <f>"255,0"</f>
        <v>255,0</v>
      </c>
      <c r="M9" s="14" t="str">
        <f>"155,8305"</f>
        <v>155,8305</v>
      </c>
      <c r="N9" s="11" t="s">
        <v>59</v>
      </c>
    </row>
    <row r="10" spans="1:14" x14ac:dyDescent="0.2">
      <c r="A10" s="17" t="s">
        <v>60</v>
      </c>
      <c r="B10" s="15" t="s">
        <v>1342</v>
      </c>
      <c r="C10" s="15" t="s">
        <v>1343</v>
      </c>
      <c r="D10" s="15" t="s">
        <v>1150</v>
      </c>
      <c r="E10" s="15" t="str">
        <f>"0,6131"</f>
        <v>0,6131</v>
      </c>
      <c r="F10" s="15" t="s">
        <v>20</v>
      </c>
      <c r="G10" s="15" t="s">
        <v>401</v>
      </c>
      <c r="H10" s="18" t="s">
        <v>174</v>
      </c>
      <c r="I10" s="18" t="s">
        <v>174</v>
      </c>
      <c r="J10" s="16" t="s">
        <v>154</v>
      </c>
      <c r="K10" s="17"/>
      <c r="L10" s="17" t="str">
        <f>"250,0"</f>
        <v>250,0</v>
      </c>
      <c r="M10" s="17" t="str">
        <f>"153,2750"</f>
        <v>153,2750</v>
      </c>
      <c r="N10" s="15" t="s">
        <v>59</v>
      </c>
    </row>
    <row r="11" spans="1:14" x14ac:dyDescent="0.2">
      <c r="A11" s="17" t="s">
        <v>65</v>
      </c>
      <c r="B11" s="15" t="s">
        <v>1460</v>
      </c>
      <c r="C11" s="15" t="s">
        <v>1461</v>
      </c>
      <c r="D11" s="15" t="s">
        <v>310</v>
      </c>
      <c r="E11" s="15" t="str">
        <f>"0,6155"</f>
        <v>0,6155</v>
      </c>
      <c r="F11" s="15" t="s">
        <v>20</v>
      </c>
      <c r="G11" s="15" t="s">
        <v>879</v>
      </c>
      <c r="H11" s="16" t="s">
        <v>223</v>
      </c>
      <c r="I11" s="16" t="s">
        <v>161</v>
      </c>
      <c r="J11" s="16" t="s">
        <v>258</v>
      </c>
      <c r="K11" s="17"/>
      <c r="L11" s="17" t="str">
        <f>"227,5"</f>
        <v>227,5</v>
      </c>
      <c r="M11" s="17" t="str">
        <f>"140,0262"</f>
        <v>140,0262</v>
      </c>
      <c r="N11" s="15" t="s">
        <v>59</v>
      </c>
    </row>
    <row r="12" spans="1:14" x14ac:dyDescent="0.2">
      <c r="A12" s="17" t="s">
        <v>182</v>
      </c>
      <c r="B12" s="15" t="s">
        <v>1462</v>
      </c>
      <c r="C12" s="15" t="s">
        <v>1463</v>
      </c>
      <c r="D12" s="15" t="s">
        <v>474</v>
      </c>
      <c r="E12" s="15" t="str">
        <f>"0,6172"</f>
        <v>0,6172</v>
      </c>
      <c r="F12" s="15" t="s">
        <v>190</v>
      </c>
      <c r="G12" s="15" t="s">
        <v>191</v>
      </c>
      <c r="H12" s="16" t="s">
        <v>100</v>
      </c>
      <c r="I12" s="16" t="s">
        <v>223</v>
      </c>
      <c r="J12" s="16" t="s">
        <v>101</v>
      </c>
      <c r="K12" s="17"/>
      <c r="L12" s="17" t="str">
        <f>"220,0"</f>
        <v>220,0</v>
      </c>
      <c r="M12" s="17" t="str">
        <f>"135,7840"</f>
        <v>135,7840</v>
      </c>
      <c r="N12" s="15" t="s">
        <v>59</v>
      </c>
    </row>
    <row r="13" spans="1:14" x14ac:dyDescent="0.2">
      <c r="A13" s="17" t="s">
        <v>16</v>
      </c>
      <c r="B13" s="15" t="s">
        <v>1342</v>
      </c>
      <c r="C13" s="15" t="s">
        <v>1360</v>
      </c>
      <c r="D13" s="15" t="s">
        <v>1150</v>
      </c>
      <c r="E13" s="15" t="str">
        <f>"0,6131"</f>
        <v>0,6131</v>
      </c>
      <c r="F13" s="15" t="s">
        <v>20</v>
      </c>
      <c r="G13" s="15" t="s">
        <v>401</v>
      </c>
      <c r="H13" s="18" t="s">
        <v>174</v>
      </c>
      <c r="I13" s="18" t="s">
        <v>174</v>
      </c>
      <c r="J13" s="16" t="s">
        <v>154</v>
      </c>
      <c r="K13" s="17"/>
      <c r="L13" s="17" t="str">
        <f>"250,0"</f>
        <v>250,0</v>
      </c>
      <c r="M13" s="17" t="str">
        <f>"162,4715"</f>
        <v>162,4715</v>
      </c>
      <c r="N13" s="15" t="s">
        <v>59</v>
      </c>
    </row>
    <row r="14" spans="1:14" x14ac:dyDescent="0.2">
      <c r="A14" s="21" t="s">
        <v>60</v>
      </c>
      <c r="B14" s="19" t="s">
        <v>1464</v>
      </c>
      <c r="C14" s="19" t="s">
        <v>1465</v>
      </c>
      <c r="D14" s="19" t="s">
        <v>468</v>
      </c>
      <c r="E14" s="19" t="str">
        <f>"0,6142"</f>
        <v>0,6142</v>
      </c>
      <c r="F14" s="19" t="s">
        <v>552</v>
      </c>
      <c r="G14" s="19" t="s">
        <v>1466</v>
      </c>
      <c r="H14" s="22" t="s">
        <v>100</v>
      </c>
      <c r="I14" s="20" t="s">
        <v>100</v>
      </c>
      <c r="J14" s="20" t="s">
        <v>223</v>
      </c>
      <c r="K14" s="21"/>
      <c r="L14" s="21" t="str">
        <f>"215,0"</f>
        <v>215,0</v>
      </c>
      <c r="M14" s="21" t="str">
        <f>"133,9017"</f>
        <v>133,9017</v>
      </c>
      <c r="N14" s="19" t="s">
        <v>59</v>
      </c>
    </row>
    <row r="15" spans="1:14" x14ac:dyDescent="0.2">
      <c r="B15" s="5" t="s">
        <v>38</v>
      </c>
    </row>
    <row r="16" spans="1:14" ht="15" x14ac:dyDescent="0.2">
      <c r="A16" s="81" t="s">
        <v>333</v>
      </c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4" x14ac:dyDescent="0.2">
      <c r="A17" s="10" t="s">
        <v>16</v>
      </c>
      <c r="B17" s="7" t="s">
        <v>1467</v>
      </c>
      <c r="C17" s="7" t="s">
        <v>1468</v>
      </c>
      <c r="D17" s="7" t="s">
        <v>1469</v>
      </c>
      <c r="E17" s="7" t="str">
        <f>"0,5872"</f>
        <v>0,5872</v>
      </c>
      <c r="F17" s="7" t="s">
        <v>190</v>
      </c>
      <c r="G17" s="7" t="s">
        <v>191</v>
      </c>
      <c r="H17" s="8" t="s">
        <v>223</v>
      </c>
      <c r="I17" s="8" t="s">
        <v>153</v>
      </c>
      <c r="J17" s="9" t="s">
        <v>208</v>
      </c>
      <c r="K17" s="10"/>
      <c r="L17" s="10" t="str">
        <f>"230,0"</f>
        <v>230,0</v>
      </c>
      <c r="M17" s="10" t="str">
        <f>"135,0560"</f>
        <v>135,0560</v>
      </c>
      <c r="N17" s="7" t="s">
        <v>59</v>
      </c>
    </row>
    <row r="18" spans="1:14" x14ac:dyDescent="0.2">
      <c r="B18" s="5" t="s">
        <v>38</v>
      </c>
    </row>
  </sheetData>
  <mergeCells count="15">
    <mergeCell ref="A16:M16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8:M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N10"/>
  <sheetViews>
    <sheetView workbookViewId="0">
      <selection sqref="A1:N2"/>
    </sheetView>
  </sheetViews>
  <sheetFormatPr defaultColWidth="9.140625" defaultRowHeight="12.75" x14ac:dyDescent="0.2"/>
  <cols>
    <col min="1" max="1" width="7.42578125" style="6" bestFit="1" customWidth="1"/>
    <col min="2" max="2" width="21.140625" style="5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1.7109375" style="5" customWidth="1"/>
    <col min="8" max="10" width="5.42578125" style="6" bestFit="1" customWidth="1"/>
    <col min="11" max="11" width="4.85546875" style="6" bestFit="1" customWidth="1"/>
    <col min="12" max="12" width="11.28515625" style="6" bestFit="1" customWidth="1"/>
    <col min="13" max="13" width="8.42578125" style="6" bestFit="1" customWidth="1"/>
    <col min="14" max="14" width="22" style="5" customWidth="1"/>
    <col min="15" max="16384" width="9.140625" style="3"/>
  </cols>
  <sheetData>
    <row r="1" spans="1:14" s="2" customFormat="1" ht="29.1" customHeight="1" x14ac:dyDescent="0.2">
      <c r="A1" s="83" t="s">
        <v>1470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4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3"/>
      <c r="M4" s="93"/>
      <c r="N4" s="78"/>
    </row>
    <row r="5" spans="1:14" ht="15" x14ac:dyDescent="0.2">
      <c r="A5" s="79" t="s">
        <v>192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0" t="s">
        <v>16</v>
      </c>
      <c r="B6" s="7" t="s">
        <v>1284</v>
      </c>
      <c r="C6" s="7" t="s">
        <v>1285</v>
      </c>
      <c r="D6" s="7" t="s">
        <v>232</v>
      </c>
      <c r="E6" s="7" t="str">
        <f>"0,6704"</f>
        <v>0,6704</v>
      </c>
      <c r="F6" s="7" t="s">
        <v>552</v>
      </c>
      <c r="G6" s="7" t="s">
        <v>1466</v>
      </c>
      <c r="H6" s="8" t="s">
        <v>123</v>
      </c>
      <c r="I6" s="8" t="s">
        <v>124</v>
      </c>
      <c r="J6" s="9" t="s">
        <v>143</v>
      </c>
      <c r="K6" s="10"/>
      <c r="L6" s="10" t="str">
        <f>"190,0"</f>
        <v>190,0</v>
      </c>
      <c r="M6" s="10" t="str">
        <f>"130,9425"</f>
        <v>130,9425</v>
      </c>
      <c r="N6" s="7" t="s">
        <v>59</v>
      </c>
    </row>
    <row r="7" spans="1:14" x14ac:dyDescent="0.2">
      <c r="B7" s="5" t="s">
        <v>38</v>
      </c>
    </row>
    <row r="8" spans="1:14" ht="15" x14ac:dyDescent="0.2">
      <c r="A8" s="81" t="s">
        <v>295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x14ac:dyDescent="0.2">
      <c r="A9" s="10" t="s">
        <v>186</v>
      </c>
      <c r="B9" s="7" t="s">
        <v>1471</v>
      </c>
      <c r="C9" s="7" t="s">
        <v>1472</v>
      </c>
      <c r="D9" s="7" t="s">
        <v>1473</v>
      </c>
      <c r="E9" s="7" t="str">
        <f>"0,6086"</f>
        <v>0,6086</v>
      </c>
      <c r="F9" s="7" t="s">
        <v>20</v>
      </c>
      <c r="G9" s="7" t="s">
        <v>515</v>
      </c>
      <c r="H9" s="9" t="s">
        <v>155</v>
      </c>
      <c r="I9" s="9" t="s">
        <v>252</v>
      </c>
      <c r="J9" s="9" t="s">
        <v>413</v>
      </c>
      <c r="K9" s="10"/>
      <c r="L9" s="31">
        <v>0</v>
      </c>
      <c r="M9" s="10" t="str">
        <f>"0,0000"</f>
        <v>0,0000</v>
      </c>
      <c r="N9" s="7" t="s">
        <v>557</v>
      </c>
    </row>
    <row r="10" spans="1:14" x14ac:dyDescent="0.2">
      <c r="B10" s="5" t="s">
        <v>38</v>
      </c>
    </row>
  </sheetData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N66"/>
  <sheetViews>
    <sheetView topLeftCell="A36" workbookViewId="0">
      <selection activeCell="B57" sqref="B57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3.140625" style="5" bestFit="1" customWidth="1"/>
    <col min="7" max="7" width="28" style="5" customWidth="1"/>
    <col min="8" max="10" width="5.42578125" style="6" bestFit="1" customWidth="1"/>
    <col min="11" max="11" width="4.85546875" style="6" bestFit="1" customWidth="1"/>
    <col min="12" max="12" width="11.28515625" style="30" bestFit="1" customWidth="1"/>
    <col min="13" max="13" width="8.42578125" style="6" bestFit="1" customWidth="1"/>
    <col min="14" max="14" width="26" style="5" customWidth="1"/>
    <col min="15" max="16384" width="9.140625" style="3"/>
  </cols>
  <sheetData>
    <row r="1" spans="1:14" s="2" customFormat="1" ht="29.1" customHeight="1" x14ac:dyDescent="0.2">
      <c r="A1" s="83" t="s">
        <v>1474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1475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7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8"/>
      <c r="M4" s="93"/>
      <c r="N4" s="78"/>
    </row>
    <row r="5" spans="1:14" ht="15" x14ac:dyDescent="0.2">
      <c r="A5" s="79" t="s">
        <v>753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0" t="s">
        <v>16</v>
      </c>
      <c r="B6" s="7" t="s">
        <v>1476</v>
      </c>
      <c r="C6" s="7" t="s">
        <v>1477</v>
      </c>
      <c r="D6" s="7" t="s">
        <v>1478</v>
      </c>
      <c r="E6" s="7" t="str">
        <f>"1,0645"</f>
        <v>1,0645</v>
      </c>
      <c r="F6" s="7" t="s">
        <v>20</v>
      </c>
      <c r="G6" s="7" t="s">
        <v>1015</v>
      </c>
      <c r="H6" s="8" t="s">
        <v>35</v>
      </c>
      <c r="I6" s="9" t="s">
        <v>53</v>
      </c>
      <c r="J6" s="9" t="s">
        <v>53</v>
      </c>
      <c r="K6" s="10"/>
      <c r="L6" s="31" t="str">
        <f>"80,0"</f>
        <v>80,0</v>
      </c>
      <c r="M6" s="10" t="str">
        <f>"85,1600"</f>
        <v>85,1600</v>
      </c>
      <c r="N6" s="7" t="s">
        <v>1479</v>
      </c>
    </row>
    <row r="7" spans="1:14" x14ac:dyDescent="0.2">
      <c r="B7" s="5" t="s">
        <v>38</v>
      </c>
    </row>
    <row r="8" spans="1:14" ht="15" x14ac:dyDescent="0.2">
      <c r="A8" s="81" t="s">
        <v>48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x14ac:dyDescent="0.2">
      <c r="A9" s="10" t="s">
        <v>16</v>
      </c>
      <c r="B9" s="7" t="s">
        <v>1480</v>
      </c>
      <c r="C9" s="7" t="s">
        <v>1481</v>
      </c>
      <c r="D9" s="7" t="s">
        <v>822</v>
      </c>
      <c r="E9" s="7" t="str">
        <f>"0,9984"</f>
        <v>0,9984</v>
      </c>
      <c r="F9" s="7" t="s">
        <v>20</v>
      </c>
      <c r="G9" s="7" t="s">
        <v>69</v>
      </c>
      <c r="H9" s="8" t="s">
        <v>23</v>
      </c>
      <c r="I9" s="8" t="s">
        <v>35</v>
      </c>
      <c r="J9" s="8" t="s">
        <v>24</v>
      </c>
      <c r="K9" s="10"/>
      <c r="L9" s="31" t="str">
        <f>"85,0"</f>
        <v>85,0</v>
      </c>
      <c r="M9" s="10" t="str">
        <f>"84,8598"</f>
        <v>84,8598</v>
      </c>
      <c r="N9" s="7" t="s">
        <v>1482</v>
      </c>
    </row>
    <row r="10" spans="1:14" x14ac:dyDescent="0.2">
      <c r="B10" s="5" t="s">
        <v>38</v>
      </c>
    </row>
    <row r="11" spans="1:14" ht="15" x14ac:dyDescent="0.2">
      <c r="A11" s="81" t="s">
        <v>73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4" x14ac:dyDescent="0.2">
      <c r="A12" s="10" t="s">
        <v>16</v>
      </c>
      <c r="B12" s="7" t="s">
        <v>1483</v>
      </c>
      <c r="C12" s="7" t="s">
        <v>1484</v>
      </c>
      <c r="D12" s="7" t="s">
        <v>121</v>
      </c>
      <c r="E12" s="7" t="str">
        <f>"0,9123"</f>
        <v>0,9123</v>
      </c>
      <c r="F12" s="7" t="s">
        <v>20</v>
      </c>
      <c r="G12" s="7" t="s">
        <v>21</v>
      </c>
      <c r="H12" s="8" t="s">
        <v>82</v>
      </c>
      <c r="I12" s="9" t="s">
        <v>116</v>
      </c>
      <c r="J12" s="9" t="s">
        <v>58</v>
      </c>
      <c r="K12" s="10"/>
      <c r="L12" s="31" t="str">
        <f>"110,0"</f>
        <v>110,0</v>
      </c>
      <c r="M12" s="10" t="str">
        <f>"100,3585"</f>
        <v>100,3585</v>
      </c>
      <c r="N12" s="7" t="s">
        <v>59</v>
      </c>
    </row>
    <row r="13" spans="1:14" x14ac:dyDescent="0.2">
      <c r="B13" s="5" t="s">
        <v>38</v>
      </c>
    </row>
    <row r="14" spans="1:14" ht="15" x14ac:dyDescent="0.2">
      <c r="A14" s="81" t="s">
        <v>73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4" x14ac:dyDescent="0.2">
      <c r="A15" s="14" t="s">
        <v>16</v>
      </c>
      <c r="B15" s="11" t="s">
        <v>946</v>
      </c>
      <c r="C15" s="11" t="s">
        <v>947</v>
      </c>
      <c r="D15" s="11" t="s">
        <v>565</v>
      </c>
      <c r="E15" s="11" t="str">
        <f>"0,7561"</f>
        <v>0,7561</v>
      </c>
      <c r="F15" s="11" t="s">
        <v>20</v>
      </c>
      <c r="G15" s="11" t="s">
        <v>1454</v>
      </c>
      <c r="H15" s="13" t="s">
        <v>99</v>
      </c>
      <c r="I15" s="13" t="s">
        <v>123</v>
      </c>
      <c r="J15" s="14"/>
      <c r="K15" s="14"/>
      <c r="L15" s="28" t="str">
        <f>"180,0"</f>
        <v>180,0</v>
      </c>
      <c r="M15" s="14" t="str">
        <f>"136,0980"</f>
        <v>136,0980</v>
      </c>
      <c r="N15" s="11" t="s">
        <v>59</v>
      </c>
    </row>
    <row r="16" spans="1:14" x14ac:dyDescent="0.2">
      <c r="A16" s="17" t="s">
        <v>60</v>
      </c>
      <c r="B16" s="15" t="s">
        <v>1485</v>
      </c>
      <c r="C16" s="15" t="s">
        <v>1486</v>
      </c>
      <c r="D16" s="15" t="s">
        <v>114</v>
      </c>
      <c r="E16" s="15" t="str">
        <f>"0,7671"</f>
        <v>0,7671</v>
      </c>
      <c r="F16" s="15" t="s">
        <v>20</v>
      </c>
      <c r="G16" s="15" t="s">
        <v>21</v>
      </c>
      <c r="H16" s="16" t="s">
        <v>125</v>
      </c>
      <c r="I16" s="16" t="s">
        <v>227</v>
      </c>
      <c r="J16" s="18" t="s">
        <v>137</v>
      </c>
      <c r="K16" s="17"/>
      <c r="L16" s="32" t="str">
        <f>"167,5"</f>
        <v>167,5</v>
      </c>
      <c r="M16" s="17" t="str">
        <f>"128,4809"</f>
        <v>128,4809</v>
      </c>
      <c r="N16" s="15" t="s">
        <v>31</v>
      </c>
    </row>
    <row r="17" spans="1:14" x14ac:dyDescent="0.2">
      <c r="A17" s="21" t="s">
        <v>65</v>
      </c>
      <c r="B17" s="19" t="s">
        <v>951</v>
      </c>
      <c r="C17" s="19" t="s">
        <v>952</v>
      </c>
      <c r="D17" s="19" t="s">
        <v>1487</v>
      </c>
      <c r="E17" s="19" t="str">
        <f>"0,7517"</f>
        <v>0,7517</v>
      </c>
      <c r="F17" s="19" t="s">
        <v>20</v>
      </c>
      <c r="G17" s="19" t="s">
        <v>1488</v>
      </c>
      <c r="H17" s="20" t="s">
        <v>136</v>
      </c>
      <c r="I17" s="22" t="s">
        <v>98</v>
      </c>
      <c r="J17" s="20" t="s">
        <v>98</v>
      </c>
      <c r="K17" s="21"/>
      <c r="L17" s="29" t="str">
        <f>"160,0"</f>
        <v>160,0</v>
      </c>
      <c r="M17" s="21" t="str">
        <f>"120,2752"</f>
        <v>120,2752</v>
      </c>
      <c r="N17" s="19" t="s">
        <v>59</v>
      </c>
    </row>
    <row r="18" spans="1:14" x14ac:dyDescent="0.2">
      <c r="B18" s="5" t="s">
        <v>38</v>
      </c>
    </row>
    <row r="19" spans="1:14" ht="15" x14ac:dyDescent="0.2">
      <c r="A19" s="81" t="s">
        <v>192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4" x14ac:dyDescent="0.2">
      <c r="A20" s="14" t="s">
        <v>16</v>
      </c>
      <c r="B20" s="11" t="s">
        <v>1489</v>
      </c>
      <c r="C20" s="11" t="s">
        <v>1490</v>
      </c>
      <c r="D20" s="11" t="s">
        <v>1491</v>
      </c>
      <c r="E20" s="11" t="str">
        <f>"0,6479"</f>
        <v>0,6479</v>
      </c>
      <c r="F20" s="11" t="s">
        <v>20</v>
      </c>
      <c r="G20" s="11" t="s">
        <v>233</v>
      </c>
      <c r="H20" s="13" t="s">
        <v>101</v>
      </c>
      <c r="I20" s="13" t="s">
        <v>153</v>
      </c>
      <c r="J20" s="13" t="s">
        <v>250</v>
      </c>
      <c r="K20" s="14"/>
      <c r="L20" s="28" t="str">
        <f>"240,0"</f>
        <v>240,0</v>
      </c>
      <c r="M20" s="14" t="str">
        <f>"155,5020"</f>
        <v>155,5020</v>
      </c>
      <c r="N20" s="11" t="s">
        <v>59</v>
      </c>
    </row>
    <row r="21" spans="1:14" x14ac:dyDescent="0.2">
      <c r="A21" s="17" t="s">
        <v>60</v>
      </c>
      <c r="B21" s="15" t="s">
        <v>1492</v>
      </c>
      <c r="C21" s="15" t="s">
        <v>1493</v>
      </c>
      <c r="D21" s="15" t="s">
        <v>1494</v>
      </c>
      <c r="E21" s="15" t="str">
        <f>"0,6687"</f>
        <v>0,6687</v>
      </c>
      <c r="F21" s="15" t="s">
        <v>20</v>
      </c>
      <c r="G21" s="15" t="s">
        <v>21</v>
      </c>
      <c r="H21" s="18" t="s">
        <v>124</v>
      </c>
      <c r="I21" s="16" t="s">
        <v>144</v>
      </c>
      <c r="J21" s="18" t="s">
        <v>101</v>
      </c>
      <c r="K21" s="17"/>
      <c r="L21" s="32" t="str">
        <f>"210,0"</f>
        <v>210,0</v>
      </c>
      <c r="M21" s="17" t="str">
        <f>"140,4375"</f>
        <v>140,4375</v>
      </c>
      <c r="N21" s="15" t="s">
        <v>31</v>
      </c>
    </row>
    <row r="22" spans="1:14" x14ac:dyDescent="0.2">
      <c r="A22" s="21" t="s">
        <v>16</v>
      </c>
      <c r="B22" s="19" t="s">
        <v>1489</v>
      </c>
      <c r="C22" s="19" t="s">
        <v>1495</v>
      </c>
      <c r="D22" s="19" t="s">
        <v>1491</v>
      </c>
      <c r="E22" s="19" t="str">
        <f>"0,6479"</f>
        <v>0,6479</v>
      </c>
      <c r="F22" s="19" t="s">
        <v>20</v>
      </c>
      <c r="G22" s="19" t="s">
        <v>233</v>
      </c>
      <c r="H22" s="20" t="s">
        <v>101</v>
      </c>
      <c r="I22" s="20" t="s">
        <v>153</v>
      </c>
      <c r="J22" s="20" t="s">
        <v>250</v>
      </c>
      <c r="K22" s="21"/>
      <c r="L22" s="29" t="str">
        <f>"240,0"</f>
        <v>240,0</v>
      </c>
      <c r="M22" s="21" t="str">
        <f>"184,1144"</f>
        <v>184,1144</v>
      </c>
      <c r="N22" s="19" t="s">
        <v>59</v>
      </c>
    </row>
    <row r="23" spans="1:14" x14ac:dyDescent="0.2">
      <c r="B23" s="5" t="s">
        <v>38</v>
      </c>
    </row>
    <row r="24" spans="1:14" ht="15" x14ac:dyDescent="0.2">
      <c r="A24" s="81" t="s">
        <v>246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4" x14ac:dyDescent="0.2">
      <c r="A25" s="14" t="s">
        <v>16</v>
      </c>
      <c r="B25" s="11" t="s">
        <v>1496</v>
      </c>
      <c r="C25" s="11" t="s">
        <v>1497</v>
      </c>
      <c r="D25" s="11" t="s">
        <v>835</v>
      </c>
      <c r="E25" s="11" t="str">
        <f>"0,6222"</f>
        <v>0,6222</v>
      </c>
      <c r="F25" s="11" t="s">
        <v>20</v>
      </c>
      <c r="G25" s="11" t="s">
        <v>1498</v>
      </c>
      <c r="H25" s="13" t="s">
        <v>101</v>
      </c>
      <c r="I25" s="13" t="s">
        <v>208</v>
      </c>
      <c r="J25" s="13" t="s">
        <v>154</v>
      </c>
      <c r="K25" s="14"/>
      <c r="L25" s="28" t="str">
        <f>"250,0"</f>
        <v>250,0</v>
      </c>
      <c r="M25" s="14" t="str">
        <f>"155,5375"</f>
        <v>155,5375</v>
      </c>
      <c r="N25" s="11" t="s">
        <v>59</v>
      </c>
    </row>
    <row r="26" spans="1:14" x14ac:dyDescent="0.2">
      <c r="A26" s="17" t="s">
        <v>60</v>
      </c>
      <c r="B26" s="15" t="s">
        <v>1499</v>
      </c>
      <c r="C26" s="15" t="s">
        <v>1500</v>
      </c>
      <c r="D26" s="15" t="s">
        <v>270</v>
      </c>
      <c r="E26" s="15" t="str">
        <f>"0,6130"</f>
        <v>0,6130</v>
      </c>
      <c r="F26" s="15" t="s">
        <v>20</v>
      </c>
      <c r="G26" s="15" t="s">
        <v>1501</v>
      </c>
      <c r="H26" s="16" t="s">
        <v>137</v>
      </c>
      <c r="I26" s="16" t="s">
        <v>1348</v>
      </c>
      <c r="J26" s="18" t="s">
        <v>143</v>
      </c>
      <c r="K26" s="17"/>
      <c r="L26" s="32" t="str">
        <f>"187,5"</f>
        <v>187,5</v>
      </c>
      <c r="M26" s="17" t="str">
        <f>"114,9375"</f>
        <v>114,9375</v>
      </c>
      <c r="N26" s="15" t="s">
        <v>757</v>
      </c>
    </row>
    <row r="27" spans="1:14" x14ac:dyDescent="0.2">
      <c r="A27" s="17" t="s">
        <v>16</v>
      </c>
      <c r="B27" s="15" t="s">
        <v>1502</v>
      </c>
      <c r="C27" s="15" t="s">
        <v>1503</v>
      </c>
      <c r="D27" s="15" t="s">
        <v>249</v>
      </c>
      <c r="E27" s="15" t="str">
        <f>"0,6149"</f>
        <v>0,6149</v>
      </c>
      <c r="F27" s="15" t="s">
        <v>20</v>
      </c>
      <c r="G27" s="15" t="s">
        <v>1504</v>
      </c>
      <c r="H27" s="16" t="s">
        <v>1348</v>
      </c>
      <c r="I27" s="16" t="s">
        <v>392</v>
      </c>
      <c r="J27" s="18" t="s">
        <v>173</v>
      </c>
      <c r="K27" s="17"/>
      <c r="L27" s="32" t="str">
        <f>"207,5"</f>
        <v>207,5</v>
      </c>
      <c r="M27" s="17" t="str">
        <f>"142,0096"</f>
        <v>142,0096</v>
      </c>
      <c r="N27" s="15" t="s">
        <v>59</v>
      </c>
    </row>
    <row r="28" spans="1:14" x14ac:dyDescent="0.2">
      <c r="A28" s="21" t="s">
        <v>16</v>
      </c>
      <c r="B28" s="19" t="s">
        <v>1496</v>
      </c>
      <c r="C28" s="19" t="s">
        <v>1505</v>
      </c>
      <c r="D28" s="19" t="s">
        <v>835</v>
      </c>
      <c r="E28" s="19" t="str">
        <f>"0,6222"</f>
        <v>0,6222</v>
      </c>
      <c r="F28" s="19" t="s">
        <v>20</v>
      </c>
      <c r="G28" s="19" t="s">
        <v>1498</v>
      </c>
      <c r="H28" s="20" t="s">
        <v>101</v>
      </c>
      <c r="I28" s="20" t="s">
        <v>208</v>
      </c>
      <c r="J28" s="20" t="s">
        <v>154</v>
      </c>
      <c r="K28" s="21"/>
      <c r="L28" s="29" t="str">
        <f>"250,0"</f>
        <v>250,0</v>
      </c>
      <c r="M28" s="21" t="str">
        <f>"175,7574"</f>
        <v>175,7574</v>
      </c>
      <c r="N28" s="19" t="s">
        <v>59</v>
      </c>
    </row>
    <row r="29" spans="1:14" x14ac:dyDescent="0.2">
      <c r="B29" s="5" t="s">
        <v>38</v>
      </c>
    </row>
    <row r="30" spans="1:14" ht="15" x14ac:dyDescent="0.2">
      <c r="A30" s="81" t="s">
        <v>295</v>
      </c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4" x14ac:dyDescent="0.2">
      <c r="A31" s="14" t="s">
        <v>16</v>
      </c>
      <c r="B31" s="11" t="s">
        <v>1506</v>
      </c>
      <c r="C31" s="11" t="s">
        <v>1507</v>
      </c>
      <c r="D31" s="11" t="s">
        <v>1508</v>
      </c>
      <c r="E31" s="11" t="str">
        <f>"0,6054"</f>
        <v>0,6054</v>
      </c>
      <c r="F31" s="11" t="s">
        <v>20</v>
      </c>
      <c r="G31" s="11" t="s">
        <v>21</v>
      </c>
      <c r="H31" s="13" t="s">
        <v>413</v>
      </c>
      <c r="I31" s="13" t="s">
        <v>259</v>
      </c>
      <c r="J31" s="12" t="s">
        <v>440</v>
      </c>
      <c r="K31" s="14"/>
      <c r="L31" s="28" t="str">
        <f>"290,0"</f>
        <v>290,0</v>
      </c>
      <c r="M31" s="14" t="str">
        <f>"175,5515"</f>
        <v>175,5515</v>
      </c>
      <c r="N31" s="11" t="s">
        <v>59</v>
      </c>
    </row>
    <row r="32" spans="1:14" x14ac:dyDescent="0.2">
      <c r="A32" s="17" t="s">
        <v>60</v>
      </c>
      <c r="B32" s="15" t="s">
        <v>1509</v>
      </c>
      <c r="C32" s="15" t="s">
        <v>1510</v>
      </c>
      <c r="D32" s="15" t="s">
        <v>1511</v>
      </c>
      <c r="E32" s="15" t="str">
        <f>"0,5933"</f>
        <v>0,5933</v>
      </c>
      <c r="F32" s="15" t="s">
        <v>20</v>
      </c>
      <c r="G32" s="15" t="s">
        <v>579</v>
      </c>
      <c r="H32" s="18" t="s">
        <v>101</v>
      </c>
      <c r="I32" s="16" t="s">
        <v>101</v>
      </c>
      <c r="J32" s="18" t="s">
        <v>644</v>
      </c>
      <c r="K32" s="17"/>
      <c r="L32" s="32" t="str">
        <f>"220,0"</f>
        <v>220,0</v>
      </c>
      <c r="M32" s="17" t="str">
        <f>"130,5260"</f>
        <v>130,5260</v>
      </c>
      <c r="N32" s="15" t="s">
        <v>1512</v>
      </c>
    </row>
    <row r="33" spans="1:14" x14ac:dyDescent="0.2">
      <c r="A33" s="17" t="s">
        <v>16</v>
      </c>
      <c r="B33" s="15" t="s">
        <v>1513</v>
      </c>
      <c r="C33" s="15" t="s">
        <v>1514</v>
      </c>
      <c r="D33" s="15" t="s">
        <v>1157</v>
      </c>
      <c r="E33" s="15" t="str">
        <f>"0,5853"</f>
        <v>0,5853</v>
      </c>
      <c r="F33" s="15" t="s">
        <v>20</v>
      </c>
      <c r="G33" s="15" t="s">
        <v>21</v>
      </c>
      <c r="H33" s="18" t="s">
        <v>154</v>
      </c>
      <c r="I33" s="18" t="s">
        <v>154</v>
      </c>
      <c r="J33" s="16" t="s">
        <v>154</v>
      </c>
      <c r="K33" s="17"/>
      <c r="L33" s="32" t="str">
        <f>"250,0"</f>
        <v>250,0</v>
      </c>
      <c r="M33" s="17" t="str">
        <f>"173,2636"</f>
        <v>173,2636</v>
      </c>
      <c r="N33" s="15" t="s">
        <v>59</v>
      </c>
    </row>
    <row r="34" spans="1:14" x14ac:dyDescent="0.2">
      <c r="A34" s="21" t="s">
        <v>60</v>
      </c>
      <c r="B34" s="19" t="s">
        <v>1515</v>
      </c>
      <c r="C34" s="19" t="s">
        <v>1516</v>
      </c>
      <c r="D34" s="19" t="s">
        <v>684</v>
      </c>
      <c r="E34" s="19" t="str">
        <f>"0,5818"</f>
        <v>0,5818</v>
      </c>
      <c r="F34" s="19" t="s">
        <v>20</v>
      </c>
      <c r="G34" s="19" t="s">
        <v>1517</v>
      </c>
      <c r="H34" s="20" t="s">
        <v>166</v>
      </c>
      <c r="I34" s="20" t="s">
        <v>1344</v>
      </c>
      <c r="J34" s="20" t="s">
        <v>223</v>
      </c>
      <c r="K34" s="21"/>
      <c r="L34" s="29" t="str">
        <f>"215,0"</f>
        <v>215,0</v>
      </c>
      <c r="M34" s="21" t="str">
        <f>"155,8584"</f>
        <v>155,8584</v>
      </c>
      <c r="N34" s="19" t="s">
        <v>59</v>
      </c>
    </row>
    <row r="35" spans="1:14" x14ac:dyDescent="0.2">
      <c r="B35" s="5" t="s">
        <v>38</v>
      </c>
    </row>
    <row r="36" spans="1:14" ht="15" x14ac:dyDescent="0.2">
      <c r="A36" s="81" t="s">
        <v>323</v>
      </c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x14ac:dyDescent="0.2">
      <c r="A37" s="14" t="s">
        <v>16</v>
      </c>
      <c r="B37" s="11" t="s">
        <v>1518</v>
      </c>
      <c r="C37" s="11" t="s">
        <v>1160</v>
      </c>
      <c r="D37" s="11" t="s">
        <v>1175</v>
      </c>
      <c r="E37" s="11" t="str">
        <f>"0,5663"</f>
        <v>0,5663</v>
      </c>
      <c r="F37" s="11" t="s">
        <v>20</v>
      </c>
      <c r="G37" s="11" t="s">
        <v>21</v>
      </c>
      <c r="H37" s="13" t="s">
        <v>153</v>
      </c>
      <c r="I37" s="13" t="s">
        <v>313</v>
      </c>
      <c r="J37" s="12" t="s">
        <v>154</v>
      </c>
      <c r="K37" s="14"/>
      <c r="L37" s="28" t="str">
        <f>"242,5"</f>
        <v>242,5</v>
      </c>
      <c r="M37" s="14" t="str">
        <f>"137,3277"</f>
        <v>137,3277</v>
      </c>
      <c r="N37" s="11" t="s">
        <v>31</v>
      </c>
    </row>
    <row r="38" spans="1:14" x14ac:dyDescent="0.2">
      <c r="A38" s="17" t="s">
        <v>186</v>
      </c>
      <c r="B38" s="15" t="s">
        <v>1519</v>
      </c>
      <c r="C38" s="15" t="s">
        <v>1520</v>
      </c>
      <c r="D38" s="15" t="s">
        <v>1521</v>
      </c>
      <c r="E38" s="15" t="str">
        <f>"0,5681"</f>
        <v>0,5681</v>
      </c>
      <c r="F38" s="15" t="s">
        <v>20</v>
      </c>
      <c r="G38" s="15" t="s">
        <v>21</v>
      </c>
      <c r="H38" s="18" t="s">
        <v>154</v>
      </c>
      <c r="I38" s="18" t="s">
        <v>154</v>
      </c>
      <c r="J38" s="18" t="s">
        <v>154</v>
      </c>
      <c r="K38" s="17"/>
      <c r="L38" s="32">
        <v>0</v>
      </c>
      <c r="M38" s="17" t="str">
        <f>"0,0000"</f>
        <v>0,0000</v>
      </c>
      <c r="N38" s="15" t="s">
        <v>59</v>
      </c>
    </row>
    <row r="39" spans="1:14" x14ac:dyDescent="0.2">
      <c r="A39" s="17" t="s">
        <v>186</v>
      </c>
      <c r="B39" s="15" t="s">
        <v>330</v>
      </c>
      <c r="C39" s="15" t="s">
        <v>597</v>
      </c>
      <c r="D39" s="15" t="s">
        <v>1522</v>
      </c>
      <c r="E39" s="15" t="str">
        <f>"0,5648"</f>
        <v>0,5648</v>
      </c>
      <c r="F39" s="15" t="s">
        <v>20</v>
      </c>
      <c r="G39" s="15" t="s">
        <v>279</v>
      </c>
      <c r="H39" s="17" t="s">
        <v>1523</v>
      </c>
      <c r="I39" s="17"/>
      <c r="J39" s="17"/>
      <c r="K39" s="17"/>
      <c r="L39" s="32">
        <v>0</v>
      </c>
      <c r="M39" s="17" t="str">
        <f>"0,0000"</f>
        <v>0,0000</v>
      </c>
      <c r="N39" s="15" t="s">
        <v>59</v>
      </c>
    </row>
    <row r="40" spans="1:14" x14ac:dyDescent="0.2">
      <c r="A40" s="21" t="s">
        <v>186</v>
      </c>
      <c r="B40" s="19" t="s">
        <v>330</v>
      </c>
      <c r="C40" s="19" t="s">
        <v>331</v>
      </c>
      <c r="D40" s="19" t="s">
        <v>1522</v>
      </c>
      <c r="E40" s="19" t="str">
        <f>"0,5648"</f>
        <v>0,5648</v>
      </c>
      <c r="F40" s="19" t="s">
        <v>20</v>
      </c>
      <c r="G40" s="19" t="s">
        <v>279</v>
      </c>
      <c r="H40" s="21" t="s">
        <v>1523</v>
      </c>
      <c r="I40" s="21"/>
      <c r="J40" s="21"/>
      <c r="K40" s="21"/>
      <c r="L40" s="29">
        <v>0</v>
      </c>
      <c r="M40" s="21" t="str">
        <f>"0,0000"</f>
        <v>0,0000</v>
      </c>
      <c r="N40" s="19" t="s">
        <v>59</v>
      </c>
    </row>
    <row r="41" spans="1:14" x14ac:dyDescent="0.2">
      <c r="B41" s="5" t="s">
        <v>38</v>
      </c>
    </row>
    <row r="42" spans="1:14" ht="15" x14ac:dyDescent="0.2">
      <c r="A42" s="81" t="s">
        <v>333</v>
      </c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x14ac:dyDescent="0.2">
      <c r="A43" s="14" t="s">
        <v>16</v>
      </c>
      <c r="B43" s="11" t="s">
        <v>1524</v>
      </c>
      <c r="C43" s="11" t="s">
        <v>1525</v>
      </c>
      <c r="D43" s="11" t="s">
        <v>1203</v>
      </c>
      <c r="E43" s="11" t="str">
        <f>"0,5496"</f>
        <v>0,5496</v>
      </c>
      <c r="F43" s="11" t="s">
        <v>20</v>
      </c>
      <c r="G43" s="11" t="s">
        <v>21</v>
      </c>
      <c r="H43" s="13" t="s">
        <v>414</v>
      </c>
      <c r="I43" s="13" t="s">
        <v>1526</v>
      </c>
      <c r="J43" s="13" t="s">
        <v>260</v>
      </c>
      <c r="K43" s="14"/>
      <c r="L43" s="28" t="str">
        <f>"307,5"</f>
        <v>307,5</v>
      </c>
      <c r="M43" s="14" t="str">
        <f>"169,0020"</f>
        <v>169,0020</v>
      </c>
      <c r="N43" s="11" t="s">
        <v>59</v>
      </c>
    </row>
    <row r="44" spans="1:14" x14ac:dyDescent="0.2">
      <c r="A44" s="17" t="s">
        <v>60</v>
      </c>
      <c r="B44" s="15" t="s">
        <v>1189</v>
      </c>
      <c r="C44" s="15" t="s">
        <v>1190</v>
      </c>
      <c r="D44" s="15" t="s">
        <v>1191</v>
      </c>
      <c r="E44" s="15" t="str">
        <f>"0,5619"</f>
        <v>0,5619</v>
      </c>
      <c r="F44" s="15" t="s">
        <v>20</v>
      </c>
      <c r="G44" s="15" t="s">
        <v>21</v>
      </c>
      <c r="H44" s="16" t="s">
        <v>414</v>
      </c>
      <c r="I44" s="18" t="s">
        <v>626</v>
      </c>
      <c r="J44" s="18" t="s">
        <v>260</v>
      </c>
      <c r="K44" s="17"/>
      <c r="L44" s="32" t="str">
        <f>"300,0"</f>
        <v>300,0</v>
      </c>
      <c r="M44" s="17" t="str">
        <f>"168,5700"</f>
        <v>168,5700</v>
      </c>
      <c r="N44" s="15" t="s">
        <v>1192</v>
      </c>
    </row>
    <row r="45" spans="1:14" x14ac:dyDescent="0.2">
      <c r="A45" s="21" t="s">
        <v>16</v>
      </c>
      <c r="B45" s="19" t="s">
        <v>1189</v>
      </c>
      <c r="C45" s="19" t="s">
        <v>1200</v>
      </c>
      <c r="D45" s="19" t="s">
        <v>1191</v>
      </c>
      <c r="E45" s="19" t="str">
        <f>"0,5619"</f>
        <v>0,5619</v>
      </c>
      <c r="F45" s="19" t="s">
        <v>20</v>
      </c>
      <c r="G45" s="19" t="s">
        <v>21</v>
      </c>
      <c r="H45" s="20" t="s">
        <v>414</v>
      </c>
      <c r="I45" s="22" t="s">
        <v>626</v>
      </c>
      <c r="J45" s="22" t="s">
        <v>260</v>
      </c>
      <c r="K45" s="21"/>
      <c r="L45" s="29" t="str">
        <f>"300,0"</f>
        <v>300,0</v>
      </c>
      <c r="M45" s="21" t="str">
        <f>"171,9414"</f>
        <v>171,9414</v>
      </c>
      <c r="N45" s="19" t="s">
        <v>1192</v>
      </c>
    </row>
    <row r="46" spans="1:14" x14ac:dyDescent="0.2">
      <c r="B46" s="5" t="s">
        <v>38</v>
      </c>
    </row>
    <row r="47" spans="1:14" ht="15" x14ac:dyDescent="0.2">
      <c r="A47" s="81" t="s">
        <v>503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4" x14ac:dyDescent="0.2">
      <c r="A48" s="14" t="s">
        <v>16</v>
      </c>
      <c r="B48" s="11" t="s">
        <v>1527</v>
      </c>
      <c r="C48" s="11" t="s">
        <v>1528</v>
      </c>
      <c r="D48" s="11" t="s">
        <v>1529</v>
      </c>
      <c r="E48" s="11" t="str">
        <f>"0,5398"</f>
        <v>0,5398</v>
      </c>
      <c r="F48" s="11" t="s">
        <v>20</v>
      </c>
      <c r="G48" s="11" t="s">
        <v>21</v>
      </c>
      <c r="H48" s="12" t="s">
        <v>154</v>
      </c>
      <c r="I48" s="13" t="s">
        <v>154</v>
      </c>
      <c r="J48" s="12" t="s">
        <v>252</v>
      </c>
      <c r="K48" s="14"/>
      <c r="L48" s="28" t="str">
        <f>"250,0"</f>
        <v>250,0</v>
      </c>
      <c r="M48" s="14" t="str">
        <f>"134,9550"</f>
        <v>134,9550</v>
      </c>
      <c r="N48" s="11" t="s">
        <v>31</v>
      </c>
    </row>
    <row r="49" spans="1:14" x14ac:dyDescent="0.2">
      <c r="A49" s="21" t="s">
        <v>16</v>
      </c>
      <c r="B49" s="19" t="s">
        <v>1527</v>
      </c>
      <c r="C49" s="19" t="s">
        <v>1530</v>
      </c>
      <c r="D49" s="19" t="s">
        <v>1529</v>
      </c>
      <c r="E49" s="19" t="str">
        <f>"0,5398"</f>
        <v>0,5398</v>
      </c>
      <c r="F49" s="19" t="s">
        <v>20</v>
      </c>
      <c r="G49" s="19" t="s">
        <v>21</v>
      </c>
      <c r="H49" s="22" t="s">
        <v>154</v>
      </c>
      <c r="I49" s="20" t="s">
        <v>154</v>
      </c>
      <c r="J49" s="22" t="s">
        <v>252</v>
      </c>
      <c r="K49" s="21"/>
      <c r="L49" s="29" t="str">
        <f>"250,0"</f>
        <v>250,0</v>
      </c>
      <c r="M49" s="21" t="str">
        <f>"152,4992"</f>
        <v>152,4992</v>
      </c>
      <c r="N49" s="19" t="s">
        <v>31</v>
      </c>
    </row>
    <row r="50" spans="1:14" x14ac:dyDescent="0.2">
      <c r="B50" s="5" t="s">
        <v>38</v>
      </c>
    </row>
    <row r="51" spans="1:14" ht="15" x14ac:dyDescent="0.2">
      <c r="B51" s="5" t="s">
        <v>38</v>
      </c>
      <c r="F51" s="23"/>
    </row>
    <row r="52" spans="1:14" x14ac:dyDescent="0.2">
      <c r="B52" s="5" t="s">
        <v>38</v>
      </c>
    </row>
    <row r="53" spans="1:14" ht="18" x14ac:dyDescent="0.2">
      <c r="B53" s="24" t="s">
        <v>340</v>
      </c>
      <c r="C53" s="24"/>
      <c r="G53" s="3"/>
    </row>
    <row r="54" spans="1:14" ht="15" x14ac:dyDescent="0.2">
      <c r="B54" s="73" t="s">
        <v>341</v>
      </c>
      <c r="C54" s="73"/>
      <c r="G54" s="3"/>
    </row>
    <row r="55" spans="1:14" ht="14.25" x14ac:dyDescent="0.2">
      <c r="B55" s="25"/>
      <c r="C55" s="25" t="s">
        <v>358</v>
      </c>
      <c r="G55" s="3"/>
    </row>
    <row r="56" spans="1:14" ht="15" x14ac:dyDescent="0.2">
      <c r="B56" s="4" t="s">
        <v>343</v>
      </c>
      <c r="C56" s="4" t="s">
        <v>344</v>
      </c>
      <c r="D56" s="4" t="s">
        <v>345</v>
      </c>
      <c r="E56" s="4" t="s">
        <v>861</v>
      </c>
      <c r="F56" s="4" t="s">
        <v>1531</v>
      </c>
      <c r="G56" s="3"/>
    </row>
    <row r="57" spans="1:14" x14ac:dyDescent="0.2">
      <c r="A57" s="67"/>
      <c r="B57" s="5" t="s">
        <v>1506</v>
      </c>
      <c r="C57" s="5" t="s">
        <v>358</v>
      </c>
      <c r="D57" s="6" t="s">
        <v>359</v>
      </c>
      <c r="E57" s="6" t="s">
        <v>259</v>
      </c>
      <c r="F57" s="6" t="s">
        <v>1532</v>
      </c>
      <c r="G57" s="3"/>
    </row>
    <row r="58" spans="1:14" x14ac:dyDescent="0.2">
      <c r="B58" s="5" t="s">
        <v>1524</v>
      </c>
      <c r="C58" s="5" t="s">
        <v>358</v>
      </c>
      <c r="D58" s="6" t="s">
        <v>749</v>
      </c>
      <c r="E58" s="6" t="s">
        <v>260</v>
      </c>
      <c r="F58" s="6" t="s">
        <v>1533</v>
      </c>
      <c r="G58" s="3"/>
    </row>
    <row r="59" spans="1:14" x14ac:dyDescent="0.2">
      <c r="B59" s="5" t="s">
        <v>1189</v>
      </c>
      <c r="C59" s="5" t="s">
        <v>358</v>
      </c>
      <c r="D59" s="6" t="s">
        <v>749</v>
      </c>
      <c r="E59" s="6" t="s">
        <v>414</v>
      </c>
      <c r="F59" s="6" t="s">
        <v>1534</v>
      </c>
      <c r="G59" s="3"/>
    </row>
    <row r="60" spans="1:14" x14ac:dyDescent="0.2">
      <c r="G60" s="3"/>
    </row>
    <row r="61" spans="1:14" ht="14.25" x14ac:dyDescent="0.2">
      <c r="B61" s="25"/>
      <c r="C61" s="25" t="s">
        <v>1229</v>
      </c>
      <c r="G61" s="3"/>
    </row>
    <row r="62" spans="1:14" ht="15" x14ac:dyDescent="0.2">
      <c r="B62" s="4" t="s">
        <v>343</v>
      </c>
      <c r="C62" s="4" t="s">
        <v>344</v>
      </c>
      <c r="D62" s="4" t="s">
        <v>345</v>
      </c>
      <c r="E62" s="4" t="s">
        <v>861</v>
      </c>
      <c r="F62" s="4" t="s">
        <v>1531</v>
      </c>
      <c r="G62" s="3"/>
    </row>
    <row r="63" spans="1:14" x14ac:dyDescent="0.2">
      <c r="B63" s="5" t="s">
        <v>1489</v>
      </c>
      <c r="C63" s="5" t="s">
        <v>1535</v>
      </c>
      <c r="D63" s="6" t="s">
        <v>355</v>
      </c>
      <c r="E63" s="6" t="s">
        <v>250</v>
      </c>
      <c r="F63" s="6" t="s">
        <v>1536</v>
      </c>
      <c r="G63" s="3"/>
    </row>
    <row r="64" spans="1:14" x14ac:dyDescent="0.2">
      <c r="B64" s="5" t="s">
        <v>1496</v>
      </c>
      <c r="C64" s="5" t="s">
        <v>1535</v>
      </c>
      <c r="D64" s="6" t="s">
        <v>352</v>
      </c>
      <c r="E64" s="6" t="s">
        <v>154</v>
      </c>
      <c r="F64" s="6" t="s">
        <v>1537</v>
      </c>
      <c r="G64" s="3"/>
    </row>
    <row r="65" spans="2:7" x14ac:dyDescent="0.2">
      <c r="B65" s="5" t="s">
        <v>1513</v>
      </c>
      <c r="C65" s="5" t="s">
        <v>1535</v>
      </c>
      <c r="D65" s="6" t="s">
        <v>359</v>
      </c>
      <c r="E65" s="6" t="s">
        <v>154</v>
      </c>
      <c r="F65" s="6" t="s">
        <v>1538</v>
      </c>
      <c r="G65" s="3"/>
    </row>
    <row r="66" spans="2:7" x14ac:dyDescent="0.2">
      <c r="B66" s="5" t="s">
        <v>38</v>
      </c>
    </row>
  </sheetData>
  <mergeCells count="22">
    <mergeCell ref="A47:M47"/>
    <mergeCell ref="B3:B4"/>
    <mergeCell ref="A14:M14"/>
    <mergeCell ref="A19:M19"/>
    <mergeCell ref="A24:M24"/>
    <mergeCell ref="A30:M30"/>
    <mergeCell ref="A36:M36"/>
    <mergeCell ref="A42:M42"/>
    <mergeCell ref="L3:L4"/>
    <mergeCell ref="M3:M4"/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N57"/>
  <sheetViews>
    <sheetView workbookViewId="0">
      <selection sqref="A1:N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19.140625" style="5" bestFit="1" customWidth="1"/>
    <col min="8" max="11" width="5.42578125" style="6" bestFit="1" customWidth="1"/>
    <col min="12" max="12" width="11.28515625" style="30" bestFit="1" customWidth="1"/>
    <col min="13" max="13" width="8.42578125" style="6" bestFit="1" customWidth="1"/>
    <col min="14" max="14" width="20.140625" style="5" bestFit="1" customWidth="1"/>
    <col min="15" max="16384" width="9.140625" style="3"/>
  </cols>
  <sheetData>
    <row r="1" spans="1:14" s="2" customFormat="1" ht="29.1" customHeight="1" x14ac:dyDescent="0.2">
      <c r="A1" s="83" t="s">
        <v>1539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1475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7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8"/>
      <c r="M4" s="93"/>
      <c r="N4" s="78"/>
    </row>
    <row r="5" spans="1:14" ht="15" x14ac:dyDescent="0.2">
      <c r="A5" s="79" t="s">
        <v>192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4" t="s">
        <v>16</v>
      </c>
      <c r="B6" s="11" t="s">
        <v>1540</v>
      </c>
      <c r="C6" s="11" t="s">
        <v>1541</v>
      </c>
      <c r="D6" s="11" t="s">
        <v>226</v>
      </c>
      <c r="E6" s="11" t="str">
        <f>"0,7907"</f>
        <v>0,7907</v>
      </c>
      <c r="F6" s="11" t="s">
        <v>20</v>
      </c>
      <c r="G6" s="11" t="s">
        <v>1542</v>
      </c>
      <c r="H6" s="13" t="s">
        <v>99</v>
      </c>
      <c r="I6" s="12" t="s">
        <v>152</v>
      </c>
      <c r="J6" s="13" t="s">
        <v>152</v>
      </c>
      <c r="K6" s="14"/>
      <c r="L6" s="28" t="str">
        <f>"182,5"</f>
        <v>182,5</v>
      </c>
      <c r="M6" s="14" t="str">
        <f>"144,3028"</f>
        <v>144,3028</v>
      </c>
      <c r="N6" s="11" t="s">
        <v>59</v>
      </c>
    </row>
    <row r="7" spans="1:14" x14ac:dyDescent="0.2">
      <c r="A7" s="21" t="s">
        <v>16</v>
      </c>
      <c r="B7" s="19" t="s">
        <v>1540</v>
      </c>
      <c r="C7" s="19" t="s">
        <v>1543</v>
      </c>
      <c r="D7" s="19" t="s">
        <v>226</v>
      </c>
      <c r="E7" s="19" t="str">
        <f>"0,7907"</f>
        <v>0,7907</v>
      </c>
      <c r="F7" s="19" t="s">
        <v>20</v>
      </c>
      <c r="G7" s="19" t="s">
        <v>1542</v>
      </c>
      <c r="H7" s="20" t="s">
        <v>99</v>
      </c>
      <c r="I7" s="22" t="s">
        <v>152</v>
      </c>
      <c r="J7" s="20" t="s">
        <v>152</v>
      </c>
      <c r="K7" s="21"/>
      <c r="L7" s="29" t="str">
        <f>"182,5"</f>
        <v>182,5</v>
      </c>
      <c r="M7" s="21" t="str">
        <f>"144,3028"</f>
        <v>144,3028</v>
      </c>
      <c r="N7" s="19" t="s">
        <v>59</v>
      </c>
    </row>
    <row r="8" spans="1:14" x14ac:dyDescent="0.2">
      <c r="B8" s="5" t="s">
        <v>38</v>
      </c>
    </row>
    <row r="9" spans="1:14" ht="15" x14ac:dyDescent="0.2">
      <c r="A9" s="81" t="s">
        <v>73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4" x14ac:dyDescent="0.2">
      <c r="A10" s="14" t="s">
        <v>16</v>
      </c>
      <c r="B10" s="11" t="s">
        <v>946</v>
      </c>
      <c r="C10" s="11" t="s">
        <v>947</v>
      </c>
      <c r="D10" s="11" t="s">
        <v>565</v>
      </c>
      <c r="E10" s="11" t="str">
        <f>"0,7561"</f>
        <v>0,7561</v>
      </c>
      <c r="F10" s="11" t="s">
        <v>20</v>
      </c>
      <c r="G10" s="11" t="s">
        <v>1456</v>
      </c>
      <c r="H10" s="13" t="s">
        <v>99</v>
      </c>
      <c r="I10" s="13" t="s">
        <v>123</v>
      </c>
      <c r="J10" s="14"/>
      <c r="K10" s="14"/>
      <c r="L10" s="28" t="str">
        <f>"180,0"</f>
        <v>180,0</v>
      </c>
      <c r="M10" s="14" t="str">
        <f>"136,0980"</f>
        <v>136,0980</v>
      </c>
      <c r="N10" s="11" t="s">
        <v>59</v>
      </c>
    </row>
    <row r="11" spans="1:14" x14ac:dyDescent="0.2">
      <c r="A11" s="21" t="s">
        <v>60</v>
      </c>
      <c r="B11" s="19" t="s">
        <v>951</v>
      </c>
      <c r="C11" s="19" t="s">
        <v>952</v>
      </c>
      <c r="D11" s="19" t="s">
        <v>1487</v>
      </c>
      <c r="E11" s="19" t="str">
        <f>"0,7517"</f>
        <v>0,7517</v>
      </c>
      <c r="F11" s="19" t="s">
        <v>20</v>
      </c>
      <c r="G11" s="19" t="s">
        <v>1544</v>
      </c>
      <c r="H11" s="20" t="s">
        <v>136</v>
      </c>
      <c r="I11" s="22" t="s">
        <v>98</v>
      </c>
      <c r="J11" s="20" t="s">
        <v>98</v>
      </c>
      <c r="K11" s="21"/>
      <c r="L11" s="29" t="str">
        <f>"160,0"</f>
        <v>160,0</v>
      </c>
      <c r="M11" s="21" t="str">
        <f>"120,2752"</f>
        <v>120,2752</v>
      </c>
      <c r="N11" s="19" t="s">
        <v>59</v>
      </c>
    </row>
    <row r="12" spans="1:14" x14ac:dyDescent="0.2">
      <c r="B12" s="5" t="s">
        <v>38</v>
      </c>
    </row>
    <row r="13" spans="1:14" ht="15" x14ac:dyDescent="0.2">
      <c r="A13" s="81" t="s">
        <v>131</v>
      </c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4" x14ac:dyDescent="0.2">
      <c r="A14" s="14" t="s">
        <v>16</v>
      </c>
      <c r="B14" s="11" t="s">
        <v>1545</v>
      </c>
      <c r="C14" s="11" t="s">
        <v>1546</v>
      </c>
      <c r="D14" s="11" t="s">
        <v>578</v>
      </c>
      <c r="E14" s="11" t="str">
        <f>"0,6998"</f>
        <v>0,6998</v>
      </c>
      <c r="F14" s="11" t="s">
        <v>20</v>
      </c>
      <c r="G14" s="11" t="s">
        <v>1547</v>
      </c>
      <c r="H14" s="13" t="s">
        <v>252</v>
      </c>
      <c r="I14" s="12" t="s">
        <v>259</v>
      </c>
      <c r="J14" s="12" t="s">
        <v>259</v>
      </c>
      <c r="K14" s="14"/>
      <c r="L14" s="28" t="str">
        <f>"270,0"</f>
        <v>270,0</v>
      </c>
      <c r="M14" s="14" t="str">
        <f>"188,9325"</f>
        <v>188,9325</v>
      </c>
      <c r="N14" s="11" t="s">
        <v>1548</v>
      </c>
    </row>
    <row r="15" spans="1:14" x14ac:dyDescent="0.2">
      <c r="A15" s="21" t="s">
        <v>16</v>
      </c>
      <c r="B15" s="19" t="s">
        <v>1545</v>
      </c>
      <c r="C15" s="19" t="s">
        <v>1549</v>
      </c>
      <c r="D15" s="19" t="s">
        <v>578</v>
      </c>
      <c r="E15" s="19" t="str">
        <f>"0,6998"</f>
        <v>0,6998</v>
      </c>
      <c r="F15" s="19" t="s">
        <v>20</v>
      </c>
      <c r="G15" s="19" t="s">
        <v>1547</v>
      </c>
      <c r="H15" s="20" t="s">
        <v>252</v>
      </c>
      <c r="I15" s="22" t="s">
        <v>259</v>
      </c>
      <c r="J15" s="22" t="s">
        <v>259</v>
      </c>
      <c r="K15" s="21"/>
      <c r="L15" s="29" t="str">
        <f>"270,0"</f>
        <v>270,0</v>
      </c>
      <c r="M15" s="21" t="str">
        <f>"213,4937"</f>
        <v>213,4937</v>
      </c>
      <c r="N15" s="19" t="s">
        <v>1548</v>
      </c>
    </row>
    <row r="16" spans="1:14" x14ac:dyDescent="0.2">
      <c r="B16" s="5" t="s">
        <v>38</v>
      </c>
    </row>
    <row r="17" spans="1:14" ht="15" x14ac:dyDescent="0.2">
      <c r="A17" s="81" t="s">
        <v>192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4" x14ac:dyDescent="0.2">
      <c r="A18" s="14" t="s">
        <v>186</v>
      </c>
      <c r="B18" s="11" t="s">
        <v>1550</v>
      </c>
      <c r="C18" s="11" t="s">
        <v>1551</v>
      </c>
      <c r="D18" s="11" t="s">
        <v>1552</v>
      </c>
      <c r="E18" s="11" t="str">
        <f>"0,6540"</f>
        <v>0,6540</v>
      </c>
      <c r="F18" s="11" t="s">
        <v>20</v>
      </c>
      <c r="G18" s="11" t="s">
        <v>1553</v>
      </c>
      <c r="H18" s="12" t="s">
        <v>154</v>
      </c>
      <c r="I18" s="12" t="s">
        <v>251</v>
      </c>
      <c r="J18" s="12" t="s">
        <v>1304</v>
      </c>
      <c r="K18" s="14"/>
      <c r="L18" s="28">
        <v>0</v>
      </c>
      <c r="M18" s="14" t="str">
        <f>"0,0000"</f>
        <v>0,0000</v>
      </c>
      <c r="N18" s="11" t="s">
        <v>59</v>
      </c>
    </row>
    <row r="19" spans="1:14" x14ac:dyDescent="0.2">
      <c r="A19" s="17" t="s">
        <v>186</v>
      </c>
      <c r="B19" s="15" t="s">
        <v>1554</v>
      </c>
      <c r="C19" s="15" t="s">
        <v>1555</v>
      </c>
      <c r="D19" s="15" t="s">
        <v>244</v>
      </c>
      <c r="E19" s="15" t="str">
        <f>"0,6467"</f>
        <v>0,6467</v>
      </c>
      <c r="F19" s="15" t="s">
        <v>20</v>
      </c>
      <c r="G19" s="15" t="s">
        <v>69</v>
      </c>
      <c r="H19" s="18" t="s">
        <v>259</v>
      </c>
      <c r="I19" s="18" t="s">
        <v>414</v>
      </c>
      <c r="J19" s="18" t="s">
        <v>414</v>
      </c>
      <c r="K19" s="17"/>
      <c r="L19" s="32">
        <v>0</v>
      </c>
      <c r="M19" s="17" t="str">
        <f>"0,0000"</f>
        <v>0,0000</v>
      </c>
      <c r="N19" s="15" t="s">
        <v>59</v>
      </c>
    </row>
    <row r="20" spans="1:14" x14ac:dyDescent="0.2">
      <c r="A20" s="21" t="s">
        <v>16</v>
      </c>
      <c r="B20" s="19" t="s">
        <v>1556</v>
      </c>
      <c r="C20" s="19" t="s">
        <v>1557</v>
      </c>
      <c r="D20" s="19" t="s">
        <v>1558</v>
      </c>
      <c r="E20" s="19" t="str">
        <f>"0,6583"</f>
        <v>0,6583</v>
      </c>
      <c r="F20" s="19" t="s">
        <v>20</v>
      </c>
      <c r="G20" s="19" t="s">
        <v>69</v>
      </c>
      <c r="H20" s="20" t="s">
        <v>98</v>
      </c>
      <c r="I20" s="22" t="s">
        <v>99</v>
      </c>
      <c r="J20" s="22" t="s">
        <v>123</v>
      </c>
      <c r="K20" s="21"/>
      <c r="L20" s="29" t="str">
        <f>"160,0"</f>
        <v>160,0</v>
      </c>
      <c r="M20" s="21" t="str">
        <f>"120,8204"</f>
        <v>120,8204</v>
      </c>
      <c r="N20" s="19" t="s">
        <v>59</v>
      </c>
    </row>
    <row r="21" spans="1:14" x14ac:dyDescent="0.2">
      <c r="B21" s="5" t="s">
        <v>38</v>
      </c>
    </row>
    <row r="22" spans="1:14" ht="15" x14ac:dyDescent="0.2">
      <c r="A22" s="81" t="s">
        <v>246</v>
      </c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4" x14ac:dyDescent="0.2">
      <c r="A23" s="10" t="s">
        <v>186</v>
      </c>
      <c r="B23" s="7" t="s">
        <v>1559</v>
      </c>
      <c r="C23" s="7" t="s">
        <v>376</v>
      </c>
      <c r="D23" s="7" t="s">
        <v>1308</v>
      </c>
      <c r="E23" s="7" t="str">
        <f>"0,6119"</f>
        <v>0,6119</v>
      </c>
      <c r="F23" s="7" t="s">
        <v>20</v>
      </c>
      <c r="G23" s="7" t="s">
        <v>69</v>
      </c>
      <c r="H23" s="9" t="s">
        <v>413</v>
      </c>
      <c r="I23" s="9" t="s">
        <v>413</v>
      </c>
      <c r="J23" s="9" t="s">
        <v>302</v>
      </c>
      <c r="K23" s="10"/>
      <c r="L23" s="31">
        <v>0</v>
      </c>
      <c r="M23" s="10" t="str">
        <f>"0,0000"</f>
        <v>0,0000</v>
      </c>
      <c r="N23" s="7" t="s">
        <v>1560</v>
      </c>
    </row>
    <row r="24" spans="1:14" x14ac:dyDescent="0.2">
      <c r="B24" s="5" t="s">
        <v>38</v>
      </c>
    </row>
    <row r="25" spans="1:14" ht="15" x14ac:dyDescent="0.2">
      <c r="A25" s="81" t="s">
        <v>295</v>
      </c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4" x14ac:dyDescent="0.2">
      <c r="A26" s="14" t="s">
        <v>16</v>
      </c>
      <c r="B26" s="11" t="s">
        <v>1561</v>
      </c>
      <c r="C26" s="11" t="s">
        <v>840</v>
      </c>
      <c r="D26" s="11" t="s">
        <v>1562</v>
      </c>
      <c r="E26" s="11" t="str">
        <f>"0,5864"</f>
        <v>0,5864</v>
      </c>
      <c r="F26" s="11" t="s">
        <v>20</v>
      </c>
      <c r="G26" s="11" t="s">
        <v>69</v>
      </c>
      <c r="H26" s="13" t="s">
        <v>153</v>
      </c>
      <c r="I26" s="12" t="s">
        <v>482</v>
      </c>
      <c r="J26" s="13" t="s">
        <v>482</v>
      </c>
      <c r="K26" s="14"/>
      <c r="L26" s="28" t="str">
        <f>"237,5"</f>
        <v>237,5</v>
      </c>
      <c r="M26" s="14" t="str">
        <f>"139,2581"</f>
        <v>139,2581</v>
      </c>
      <c r="N26" s="11" t="s">
        <v>1563</v>
      </c>
    </row>
    <row r="27" spans="1:14" x14ac:dyDescent="0.2">
      <c r="A27" s="21" t="s">
        <v>60</v>
      </c>
      <c r="B27" s="19" t="s">
        <v>1564</v>
      </c>
      <c r="C27" s="19" t="s">
        <v>1565</v>
      </c>
      <c r="D27" s="19" t="s">
        <v>1566</v>
      </c>
      <c r="E27" s="19" t="str">
        <f>"0,6086"</f>
        <v>0,6086</v>
      </c>
      <c r="F27" s="19" t="s">
        <v>20</v>
      </c>
      <c r="G27" s="19" t="s">
        <v>69</v>
      </c>
      <c r="H27" s="20" t="s">
        <v>123</v>
      </c>
      <c r="I27" s="20" t="s">
        <v>124</v>
      </c>
      <c r="J27" s="22" t="s">
        <v>143</v>
      </c>
      <c r="K27" s="21"/>
      <c r="L27" s="29" t="str">
        <f>"190,0"</f>
        <v>190,0</v>
      </c>
      <c r="M27" s="21" t="str">
        <f>"115,6245"</f>
        <v>115,6245</v>
      </c>
      <c r="N27" s="19" t="s">
        <v>59</v>
      </c>
    </row>
    <row r="28" spans="1:14" x14ac:dyDescent="0.2">
      <c r="B28" s="5" t="s">
        <v>38</v>
      </c>
    </row>
    <row r="29" spans="1:14" ht="15" x14ac:dyDescent="0.2">
      <c r="A29" s="81" t="s">
        <v>323</v>
      </c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4" x14ac:dyDescent="0.2">
      <c r="A30" s="14" t="s">
        <v>16</v>
      </c>
      <c r="B30" s="11" t="s">
        <v>1567</v>
      </c>
      <c r="C30" s="11" t="s">
        <v>1568</v>
      </c>
      <c r="D30" s="11" t="s">
        <v>1569</v>
      </c>
      <c r="E30" s="11" t="str">
        <f>"0,5625"</f>
        <v>0,5625</v>
      </c>
      <c r="F30" s="11" t="s">
        <v>20</v>
      </c>
      <c r="G30" s="11" t="s">
        <v>69</v>
      </c>
      <c r="H30" s="13" t="s">
        <v>450</v>
      </c>
      <c r="I30" s="12" t="s">
        <v>497</v>
      </c>
      <c r="J30" s="12" t="s">
        <v>1570</v>
      </c>
      <c r="K30" s="14"/>
      <c r="L30" s="28" t="str">
        <f>"332,5"</f>
        <v>332,5</v>
      </c>
      <c r="M30" s="14" t="str">
        <f>"187,0313"</f>
        <v>187,0313</v>
      </c>
      <c r="N30" s="11" t="s">
        <v>59</v>
      </c>
    </row>
    <row r="31" spans="1:14" x14ac:dyDescent="0.2">
      <c r="A31" s="17" t="s">
        <v>60</v>
      </c>
      <c r="B31" s="15" t="s">
        <v>1571</v>
      </c>
      <c r="C31" s="15" t="s">
        <v>1572</v>
      </c>
      <c r="D31" s="15" t="s">
        <v>1573</v>
      </c>
      <c r="E31" s="15" t="str">
        <f>"0,5683"</f>
        <v>0,5683</v>
      </c>
      <c r="F31" s="15" t="s">
        <v>20</v>
      </c>
      <c r="G31" s="15" t="s">
        <v>265</v>
      </c>
      <c r="H31" s="18" t="s">
        <v>271</v>
      </c>
      <c r="I31" s="18" t="s">
        <v>271</v>
      </c>
      <c r="J31" s="16" t="s">
        <v>271</v>
      </c>
      <c r="K31" s="17"/>
      <c r="L31" s="32" t="str">
        <f>"252,5"</f>
        <v>252,5</v>
      </c>
      <c r="M31" s="17" t="str">
        <f>"143,4958"</f>
        <v>143,4958</v>
      </c>
      <c r="N31" s="15" t="s">
        <v>1574</v>
      </c>
    </row>
    <row r="32" spans="1:14" x14ac:dyDescent="0.2">
      <c r="A32" s="17" t="s">
        <v>65</v>
      </c>
      <c r="B32" s="15" t="s">
        <v>330</v>
      </c>
      <c r="C32" s="15" t="s">
        <v>597</v>
      </c>
      <c r="D32" s="15" t="s">
        <v>332</v>
      </c>
      <c r="E32" s="15" t="str">
        <f>"0,5647"</f>
        <v>0,5647</v>
      </c>
      <c r="F32" s="15" t="s">
        <v>20</v>
      </c>
      <c r="G32" s="15" t="s">
        <v>279</v>
      </c>
      <c r="H32" s="16" t="s">
        <v>250</v>
      </c>
      <c r="I32" s="18" t="s">
        <v>175</v>
      </c>
      <c r="J32" s="18" t="s">
        <v>175</v>
      </c>
      <c r="K32" s="17"/>
      <c r="L32" s="32" t="str">
        <f>"240,0"</f>
        <v>240,0</v>
      </c>
      <c r="M32" s="17" t="str">
        <f>"135,5280"</f>
        <v>135,5280</v>
      </c>
      <c r="N32" s="15" t="s">
        <v>59</v>
      </c>
    </row>
    <row r="33" spans="1:14" x14ac:dyDescent="0.2">
      <c r="A33" s="17" t="s">
        <v>186</v>
      </c>
      <c r="B33" s="15" t="s">
        <v>1575</v>
      </c>
      <c r="C33" s="15" t="s">
        <v>1576</v>
      </c>
      <c r="D33" s="15" t="s">
        <v>1577</v>
      </c>
      <c r="E33" s="15" t="str">
        <f>"0,5635"</f>
        <v>0,5635</v>
      </c>
      <c r="F33" s="15" t="s">
        <v>20</v>
      </c>
      <c r="G33" s="15" t="s">
        <v>1578</v>
      </c>
      <c r="H33" s="18" t="s">
        <v>154</v>
      </c>
      <c r="I33" s="18" t="s">
        <v>154</v>
      </c>
      <c r="J33" s="18" t="s">
        <v>251</v>
      </c>
      <c r="K33" s="17"/>
      <c r="L33" s="32">
        <v>0</v>
      </c>
      <c r="M33" s="17" t="str">
        <f>"0,0000"</f>
        <v>0,0000</v>
      </c>
      <c r="N33" s="15" t="s">
        <v>1579</v>
      </c>
    </row>
    <row r="34" spans="1:14" x14ac:dyDescent="0.2">
      <c r="A34" s="17" t="s">
        <v>16</v>
      </c>
      <c r="B34" s="15" t="s">
        <v>330</v>
      </c>
      <c r="C34" s="15" t="s">
        <v>331</v>
      </c>
      <c r="D34" s="15" t="s">
        <v>332</v>
      </c>
      <c r="E34" s="15" t="str">
        <f>"0,5647"</f>
        <v>0,5647</v>
      </c>
      <c r="F34" s="15" t="s">
        <v>20</v>
      </c>
      <c r="G34" s="15" t="s">
        <v>279</v>
      </c>
      <c r="H34" s="16" t="s">
        <v>250</v>
      </c>
      <c r="I34" s="18" t="s">
        <v>175</v>
      </c>
      <c r="J34" s="18" t="s">
        <v>175</v>
      </c>
      <c r="K34" s="17"/>
      <c r="L34" s="32" t="str">
        <f>"240,0"</f>
        <v>240,0</v>
      </c>
      <c r="M34" s="17" t="str">
        <f>"141,3557"</f>
        <v>141,3557</v>
      </c>
      <c r="N34" s="15" t="s">
        <v>59</v>
      </c>
    </row>
    <row r="35" spans="1:14" x14ac:dyDescent="0.2">
      <c r="A35" s="17" t="s">
        <v>186</v>
      </c>
      <c r="B35" s="15" t="s">
        <v>1575</v>
      </c>
      <c r="C35" s="15" t="s">
        <v>1580</v>
      </c>
      <c r="D35" s="15" t="s">
        <v>1577</v>
      </c>
      <c r="E35" s="15" t="str">
        <f>"0,5635"</f>
        <v>0,5635</v>
      </c>
      <c r="F35" s="15" t="s">
        <v>20</v>
      </c>
      <c r="G35" s="15" t="s">
        <v>1578</v>
      </c>
      <c r="H35" s="18" t="s">
        <v>154</v>
      </c>
      <c r="I35" s="18" t="s">
        <v>154</v>
      </c>
      <c r="J35" s="18" t="s">
        <v>251</v>
      </c>
      <c r="K35" s="17"/>
      <c r="L35" s="32">
        <v>0</v>
      </c>
      <c r="M35" s="17" t="str">
        <f>"0,0000"</f>
        <v>0,0000</v>
      </c>
      <c r="N35" s="15" t="s">
        <v>1579</v>
      </c>
    </row>
    <row r="36" spans="1:14" x14ac:dyDescent="0.2">
      <c r="A36" s="17" t="s">
        <v>16</v>
      </c>
      <c r="B36" s="15" t="s">
        <v>1581</v>
      </c>
      <c r="C36" s="15" t="s">
        <v>1582</v>
      </c>
      <c r="D36" s="15" t="s">
        <v>594</v>
      </c>
      <c r="E36" s="15" t="str">
        <f>"0,5634"</f>
        <v>0,5634</v>
      </c>
      <c r="F36" s="15" t="s">
        <v>171</v>
      </c>
      <c r="G36" s="15" t="s">
        <v>1583</v>
      </c>
      <c r="H36" s="18" t="s">
        <v>449</v>
      </c>
      <c r="I36" s="16" t="s">
        <v>449</v>
      </c>
      <c r="J36" s="16" t="s">
        <v>499</v>
      </c>
      <c r="K36" s="18" t="s">
        <v>496</v>
      </c>
      <c r="L36" s="32" t="str">
        <f>"320,0"</f>
        <v>320,0</v>
      </c>
      <c r="M36" s="17" t="str">
        <f>"220,8332"</f>
        <v>220,8332</v>
      </c>
      <c r="N36" s="15" t="s">
        <v>648</v>
      </c>
    </row>
    <row r="37" spans="1:14" x14ac:dyDescent="0.2">
      <c r="A37" s="21" t="s">
        <v>16</v>
      </c>
      <c r="B37" s="19" t="s">
        <v>1408</v>
      </c>
      <c r="C37" s="19" t="s">
        <v>1409</v>
      </c>
      <c r="D37" s="19" t="s">
        <v>1410</v>
      </c>
      <c r="E37" s="19" t="str">
        <f>"0,5727"</f>
        <v>0,5727</v>
      </c>
      <c r="F37" s="19" t="s">
        <v>20</v>
      </c>
      <c r="G37" s="19" t="s">
        <v>791</v>
      </c>
      <c r="H37" s="20" t="s">
        <v>143</v>
      </c>
      <c r="I37" s="21"/>
      <c r="J37" s="21"/>
      <c r="K37" s="21"/>
      <c r="L37" s="29" t="str">
        <f>"200,0"</f>
        <v>200,0</v>
      </c>
      <c r="M37" s="21" t="str">
        <f>"153,4970"</f>
        <v>153,4970</v>
      </c>
      <c r="N37" s="19" t="s">
        <v>59</v>
      </c>
    </row>
    <row r="38" spans="1:14" x14ac:dyDescent="0.2">
      <c r="B38" s="5" t="s">
        <v>38</v>
      </c>
    </row>
    <row r="39" spans="1:14" ht="15" x14ac:dyDescent="0.2">
      <c r="A39" s="81" t="s">
        <v>333</v>
      </c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4" x14ac:dyDescent="0.2">
      <c r="A40" s="14" t="s">
        <v>16</v>
      </c>
      <c r="B40" s="11" t="s">
        <v>1584</v>
      </c>
      <c r="C40" s="11" t="s">
        <v>335</v>
      </c>
      <c r="D40" s="11" t="s">
        <v>1585</v>
      </c>
      <c r="E40" s="11" t="str">
        <f>"0,5462"</f>
        <v>0,5462</v>
      </c>
      <c r="F40" s="11" t="s">
        <v>20</v>
      </c>
      <c r="G40" s="11" t="s">
        <v>1586</v>
      </c>
      <c r="H40" s="13" t="s">
        <v>449</v>
      </c>
      <c r="I40" s="13" t="s">
        <v>525</v>
      </c>
      <c r="J40" s="13" t="s">
        <v>678</v>
      </c>
      <c r="K40" s="12" t="s">
        <v>497</v>
      </c>
      <c r="L40" s="28" t="str">
        <f>"335,0"</f>
        <v>335,0</v>
      </c>
      <c r="M40" s="14" t="str">
        <f>"182,9937"</f>
        <v>182,9937</v>
      </c>
      <c r="N40" s="11" t="s">
        <v>59</v>
      </c>
    </row>
    <row r="41" spans="1:14" x14ac:dyDescent="0.2">
      <c r="A41" s="17" t="s">
        <v>16</v>
      </c>
      <c r="B41" s="15" t="s">
        <v>1587</v>
      </c>
      <c r="C41" s="15" t="s">
        <v>1588</v>
      </c>
      <c r="D41" s="15" t="s">
        <v>1589</v>
      </c>
      <c r="E41" s="15" t="str">
        <f>"0,5519"</f>
        <v>0,5519</v>
      </c>
      <c r="F41" s="15" t="s">
        <v>20</v>
      </c>
      <c r="G41" s="15" t="s">
        <v>1578</v>
      </c>
      <c r="H41" s="16" t="s">
        <v>259</v>
      </c>
      <c r="I41" s="16" t="s">
        <v>414</v>
      </c>
      <c r="J41" s="18" t="s">
        <v>260</v>
      </c>
      <c r="K41" s="17"/>
      <c r="L41" s="32" t="str">
        <f>"300,0"</f>
        <v>300,0</v>
      </c>
      <c r="M41" s="17" t="str">
        <f>"165,5550"</f>
        <v>165,5550</v>
      </c>
      <c r="N41" s="15" t="s">
        <v>59</v>
      </c>
    </row>
    <row r="42" spans="1:14" x14ac:dyDescent="0.2">
      <c r="A42" s="17" t="s">
        <v>60</v>
      </c>
      <c r="B42" s="15" t="s">
        <v>1382</v>
      </c>
      <c r="C42" s="15" t="s">
        <v>1383</v>
      </c>
      <c r="D42" s="15" t="s">
        <v>1590</v>
      </c>
      <c r="E42" s="15" t="str">
        <f>"0,5623"</f>
        <v>0,5623</v>
      </c>
      <c r="F42" s="15" t="s">
        <v>20</v>
      </c>
      <c r="G42" s="15" t="s">
        <v>548</v>
      </c>
      <c r="H42" s="16" t="s">
        <v>101</v>
      </c>
      <c r="I42" s="16" t="s">
        <v>153</v>
      </c>
      <c r="J42" s="16" t="s">
        <v>250</v>
      </c>
      <c r="K42" s="17"/>
      <c r="L42" s="32" t="str">
        <f>"240,0"</f>
        <v>240,0</v>
      </c>
      <c r="M42" s="17" t="str">
        <f>"134,9640"</f>
        <v>134,9640</v>
      </c>
      <c r="N42" s="15" t="s">
        <v>59</v>
      </c>
    </row>
    <row r="43" spans="1:14" x14ac:dyDescent="0.2">
      <c r="A43" s="21" t="s">
        <v>16</v>
      </c>
      <c r="B43" s="19" t="s">
        <v>1587</v>
      </c>
      <c r="C43" s="19" t="s">
        <v>1591</v>
      </c>
      <c r="D43" s="19" t="s">
        <v>1589</v>
      </c>
      <c r="E43" s="19" t="str">
        <f>"0,5519"</f>
        <v>0,5519</v>
      </c>
      <c r="F43" s="19" t="s">
        <v>20</v>
      </c>
      <c r="G43" s="19" t="s">
        <v>1578</v>
      </c>
      <c r="H43" s="20" t="s">
        <v>259</v>
      </c>
      <c r="I43" s="20" t="s">
        <v>414</v>
      </c>
      <c r="J43" s="22" t="s">
        <v>260</v>
      </c>
      <c r="K43" s="21"/>
      <c r="L43" s="29" t="str">
        <f>"300,0"</f>
        <v>300,0</v>
      </c>
      <c r="M43" s="21" t="str">
        <f>"170,6872"</f>
        <v>170,6872</v>
      </c>
      <c r="N43" s="19" t="s">
        <v>59</v>
      </c>
    </row>
    <row r="44" spans="1:14" x14ac:dyDescent="0.2">
      <c r="B44" s="5" t="s">
        <v>38</v>
      </c>
    </row>
    <row r="45" spans="1:14" ht="15" x14ac:dyDescent="0.2">
      <c r="A45" s="81" t="s">
        <v>503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4" x14ac:dyDescent="0.2">
      <c r="A46" s="14" t="s">
        <v>16</v>
      </c>
      <c r="B46" s="11" t="s">
        <v>1592</v>
      </c>
      <c r="C46" s="11" t="s">
        <v>1593</v>
      </c>
      <c r="D46" s="11" t="s">
        <v>1206</v>
      </c>
      <c r="E46" s="11" t="str">
        <f>"0,5421"</f>
        <v>0,5421</v>
      </c>
      <c r="F46" s="11" t="s">
        <v>20</v>
      </c>
      <c r="G46" s="11" t="s">
        <v>69</v>
      </c>
      <c r="H46" s="13" t="s">
        <v>516</v>
      </c>
      <c r="I46" s="12" t="s">
        <v>1594</v>
      </c>
      <c r="J46" s="13" t="s">
        <v>1594</v>
      </c>
      <c r="K46" s="14"/>
      <c r="L46" s="28" t="str">
        <f>"372,5"</f>
        <v>372,5</v>
      </c>
      <c r="M46" s="14" t="str">
        <f>"201,9323"</f>
        <v>201,9323</v>
      </c>
      <c r="N46" s="11" t="s">
        <v>59</v>
      </c>
    </row>
    <row r="47" spans="1:14" x14ac:dyDescent="0.2">
      <c r="A47" s="21" t="s">
        <v>60</v>
      </c>
      <c r="B47" s="19" t="s">
        <v>1595</v>
      </c>
      <c r="C47" s="19" t="s">
        <v>1596</v>
      </c>
      <c r="D47" s="19" t="s">
        <v>1597</v>
      </c>
      <c r="E47" s="19" t="str">
        <f>"0,5354"</f>
        <v>0,5354</v>
      </c>
      <c r="F47" s="19" t="s">
        <v>171</v>
      </c>
      <c r="G47" s="19" t="s">
        <v>561</v>
      </c>
      <c r="H47" s="20" t="s">
        <v>414</v>
      </c>
      <c r="I47" s="20" t="s">
        <v>667</v>
      </c>
      <c r="J47" s="22" t="s">
        <v>450</v>
      </c>
      <c r="K47" s="21"/>
      <c r="L47" s="29" t="str">
        <f>"322,5"</f>
        <v>322,5</v>
      </c>
      <c r="M47" s="21" t="str">
        <f>"172,6713"</f>
        <v>172,6713</v>
      </c>
      <c r="N47" s="19" t="s">
        <v>1598</v>
      </c>
    </row>
    <row r="48" spans="1:14" x14ac:dyDescent="0.2">
      <c r="B48" s="5" t="s">
        <v>38</v>
      </c>
    </row>
    <row r="49" spans="2:7" ht="15" x14ac:dyDescent="0.2">
      <c r="B49" s="5" t="s">
        <v>38</v>
      </c>
      <c r="F49" s="23"/>
    </row>
    <row r="50" spans="2:7" x14ac:dyDescent="0.2">
      <c r="B50" s="5" t="s">
        <v>38</v>
      </c>
    </row>
    <row r="51" spans="2:7" ht="18" x14ac:dyDescent="0.2">
      <c r="B51" s="24" t="s">
        <v>340</v>
      </c>
      <c r="C51" s="24"/>
      <c r="G51" s="3"/>
    </row>
    <row r="52" spans="2:7" ht="15" x14ac:dyDescent="0.2">
      <c r="B52" s="73" t="s">
        <v>341</v>
      </c>
      <c r="C52" s="73"/>
      <c r="G52" s="3"/>
    </row>
    <row r="53" spans="2:7" ht="14.25" x14ac:dyDescent="0.2">
      <c r="B53" s="25"/>
      <c r="C53" s="25" t="s">
        <v>358</v>
      </c>
      <c r="G53" s="3"/>
    </row>
    <row r="54" spans="2:7" ht="15" x14ac:dyDescent="0.2">
      <c r="B54" s="4" t="s">
        <v>343</v>
      </c>
      <c r="C54" s="4" t="s">
        <v>344</v>
      </c>
      <c r="D54" s="4" t="s">
        <v>345</v>
      </c>
      <c r="E54" s="4" t="s">
        <v>861</v>
      </c>
      <c r="F54" s="4" t="s">
        <v>1531</v>
      </c>
      <c r="G54" s="3"/>
    </row>
    <row r="55" spans="2:7" x14ac:dyDescent="0.2">
      <c r="B55" s="5" t="s">
        <v>1592</v>
      </c>
      <c r="C55" s="5" t="s">
        <v>358</v>
      </c>
      <c r="D55" s="6" t="s">
        <v>532</v>
      </c>
      <c r="E55" s="6" t="s">
        <v>1594</v>
      </c>
      <c r="F55" s="6" t="s">
        <v>1599</v>
      </c>
      <c r="G55" s="3"/>
    </row>
    <row r="56" spans="2:7" x14ac:dyDescent="0.2">
      <c r="B56" s="5" t="s">
        <v>1545</v>
      </c>
      <c r="C56" s="5" t="s">
        <v>358</v>
      </c>
      <c r="D56" s="6" t="s">
        <v>349</v>
      </c>
      <c r="E56" s="6" t="s">
        <v>252</v>
      </c>
      <c r="F56" s="6" t="s">
        <v>1600</v>
      </c>
      <c r="G56" s="3"/>
    </row>
    <row r="57" spans="2:7" x14ac:dyDescent="0.2">
      <c r="B57" s="5" t="s">
        <v>1567</v>
      </c>
      <c r="C57" s="5" t="s">
        <v>358</v>
      </c>
      <c r="D57" s="6" t="s">
        <v>813</v>
      </c>
      <c r="E57" s="6" t="s">
        <v>450</v>
      </c>
      <c r="F57" s="6" t="s">
        <v>1601</v>
      </c>
      <c r="G57" s="3"/>
    </row>
  </sheetData>
  <mergeCells count="21">
    <mergeCell ref="A45:M45"/>
    <mergeCell ref="L3:L4"/>
    <mergeCell ref="M3:M4"/>
    <mergeCell ref="N3:N4"/>
    <mergeCell ref="A5:M5"/>
    <mergeCell ref="A9:M9"/>
    <mergeCell ref="A13:M13"/>
    <mergeCell ref="B3:B4"/>
    <mergeCell ref="A17:M17"/>
    <mergeCell ref="A22:M22"/>
    <mergeCell ref="A25:M25"/>
    <mergeCell ref="A29:M29"/>
    <mergeCell ref="A39:M39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N12"/>
  <sheetViews>
    <sheetView workbookViewId="0">
      <selection sqref="A1:N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6.85546875" style="5" customWidth="1"/>
    <col min="8" max="11" width="5.42578125" style="6" bestFit="1" customWidth="1"/>
    <col min="12" max="12" width="11.28515625" style="6" bestFit="1" customWidth="1"/>
    <col min="13" max="13" width="8.42578125" style="6" bestFit="1" customWidth="1"/>
    <col min="14" max="14" width="23.140625" style="5" customWidth="1"/>
    <col min="15" max="16384" width="9.140625" style="3"/>
  </cols>
  <sheetData>
    <row r="1" spans="1:14" s="2" customFormat="1" ht="29.1" customHeight="1" x14ac:dyDescent="0.2">
      <c r="A1" s="83" t="s">
        <v>1602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1475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4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3"/>
      <c r="M4" s="93"/>
      <c r="N4" s="78"/>
    </row>
    <row r="5" spans="1:14" ht="15" x14ac:dyDescent="0.2">
      <c r="A5" s="79" t="s">
        <v>192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0" t="s">
        <v>16</v>
      </c>
      <c r="B6" s="7" t="s">
        <v>1603</v>
      </c>
      <c r="C6" s="7" t="s">
        <v>1604</v>
      </c>
      <c r="D6" s="7" t="s">
        <v>828</v>
      </c>
      <c r="E6" s="7" t="str">
        <f>"0,6446"</f>
        <v>0,6446</v>
      </c>
      <c r="F6" s="7" t="s">
        <v>20</v>
      </c>
      <c r="G6" s="7" t="s">
        <v>1015</v>
      </c>
      <c r="H6" s="9" t="s">
        <v>499</v>
      </c>
      <c r="I6" s="8" t="s">
        <v>496</v>
      </c>
      <c r="J6" s="8" t="s">
        <v>625</v>
      </c>
      <c r="K6" s="9" t="s">
        <v>1605</v>
      </c>
      <c r="L6" s="10" t="str">
        <f>"340,0"</f>
        <v>340,0</v>
      </c>
      <c r="M6" s="10" t="str">
        <f>"219,1640"</f>
        <v>219,1640</v>
      </c>
      <c r="N6" s="7" t="s">
        <v>1606</v>
      </c>
    </row>
    <row r="7" spans="1:14" x14ac:dyDescent="0.2">
      <c r="B7" s="5" t="s">
        <v>38</v>
      </c>
    </row>
    <row r="8" spans="1:14" ht="15" x14ac:dyDescent="0.2">
      <c r="A8" s="81" t="s">
        <v>323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x14ac:dyDescent="0.2">
      <c r="A9" s="14" t="s">
        <v>16</v>
      </c>
      <c r="B9" s="11" t="s">
        <v>330</v>
      </c>
      <c r="C9" s="11" t="s">
        <v>597</v>
      </c>
      <c r="D9" s="11" t="s">
        <v>332</v>
      </c>
      <c r="E9" s="11" t="str">
        <f>"0,5647"</f>
        <v>0,5647</v>
      </c>
      <c r="F9" s="11" t="s">
        <v>20</v>
      </c>
      <c r="G9" s="11" t="s">
        <v>279</v>
      </c>
      <c r="H9" s="13" t="s">
        <v>250</v>
      </c>
      <c r="I9" s="12" t="s">
        <v>175</v>
      </c>
      <c r="J9" s="12" t="s">
        <v>175</v>
      </c>
      <c r="K9" s="14"/>
      <c r="L9" s="14" t="str">
        <f>"240,0"</f>
        <v>240,0</v>
      </c>
      <c r="M9" s="14" t="str">
        <f>"135,5280"</f>
        <v>135,5280</v>
      </c>
      <c r="N9" s="11" t="s">
        <v>59</v>
      </c>
    </row>
    <row r="10" spans="1:14" x14ac:dyDescent="0.2">
      <c r="A10" s="21" t="s">
        <v>16</v>
      </c>
      <c r="B10" s="19" t="s">
        <v>330</v>
      </c>
      <c r="C10" s="19" t="s">
        <v>331</v>
      </c>
      <c r="D10" s="19" t="s">
        <v>332</v>
      </c>
      <c r="E10" s="19" t="str">
        <f>"0,5647"</f>
        <v>0,5647</v>
      </c>
      <c r="F10" s="19" t="s">
        <v>20</v>
      </c>
      <c r="G10" s="19" t="s">
        <v>279</v>
      </c>
      <c r="H10" s="20" t="s">
        <v>250</v>
      </c>
      <c r="I10" s="22" t="s">
        <v>175</v>
      </c>
      <c r="J10" s="22" t="s">
        <v>175</v>
      </c>
      <c r="K10" s="21"/>
      <c r="L10" s="21" t="str">
        <f>"240,0"</f>
        <v>240,0</v>
      </c>
      <c r="M10" s="21" t="str">
        <f>"141,3557"</f>
        <v>141,3557</v>
      </c>
      <c r="N10" s="19" t="s">
        <v>59</v>
      </c>
    </row>
    <row r="11" spans="1:14" x14ac:dyDescent="0.2">
      <c r="B11" s="5" t="s">
        <v>38</v>
      </c>
    </row>
    <row r="12" spans="1:14" x14ac:dyDescent="0.2">
      <c r="B12" s="5" t="s">
        <v>38</v>
      </c>
    </row>
  </sheetData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N12"/>
  <sheetViews>
    <sheetView workbookViewId="0">
      <selection sqref="A1:N2"/>
    </sheetView>
  </sheetViews>
  <sheetFormatPr defaultColWidth="9.140625" defaultRowHeight="12.75" x14ac:dyDescent="0.2"/>
  <cols>
    <col min="1" max="1" width="7.42578125" style="6" bestFit="1" customWidth="1"/>
    <col min="2" max="2" width="20.710937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7.85546875" style="5" customWidth="1"/>
    <col min="8" max="10" width="5.42578125" style="6" bestFit="1" customWidth="1"/>
    <col min="11" max="11" width="4.85546875" style="6" bestFit="1" customWidth="1"/>
    <col min="12" max="12" width="11.28515625" style="6" bestFit="1" customWidth="1"/>
    <col min="13" max="13" width="8.42578125" style="6" bestFit="1" customWidth="1"/>
    <col min="14" max="14" width="25" style="5" customWidth="1"/>
    <col min="15" max="16384" width="9.140625" style="3"/>
  </cols>
  <sheetData>
    <row r="1" spans="1:14" s="2" customFormat="1" ht="29.1" customHeight="1" x14ac:dyDescent="0.2">
      <c r="A1" s="83" t="s">
        <v>1607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1475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4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3"/>
      <c r="M4" s="93"/>
      <c r="N4" s="78"/>
    </row>
    <row r="5" spans="1:14" ht="15" x14ac:dyDescent="0.2">
      <c r="A5" s="79" t="s">
        <v>246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0" t="s">
        <v>16</v>
      </c>
      <c r="B6" s="7" t="s">
        <v>1608</v>
      </c>
      <c r="C6" s="7" t="s">
        <v>1609</v>
      </c>
      <c r="D6" s="7" t="s">
        <v>1610</v>
      </c>
      <c r="E6" s="7" t="str">
        <f>"0,6338"</f>
        <v>0,6338</v>
      </c>
      <c r="F6" s="7" t="s">
        <v>20</v>
      </c>
      <c r="G6" s="7" t="s">
        <v>1611</v>
      </c>
      <c r="H6" s="8" t="s">
        <v>82</v>
      </c>
      <c r="I6" s="8" t="s">
        <v>107</v>
      </c>
      <c r="J6" s="9" t="s">
        <v>116</v>
      </c>
      <c r="K6" s="10"/>
      <c r="L6" s="10" t="str">
        <f>"115,0"</f>
        <v>115,0</v>
      </c>
      <c r="M6" s="10" t="str">
        <f>"72,8813"</f>
        <v>72,8813</v>
      </c>
      <c r="N6" s="7" t="s">
        <v>1612</v>
      </c>
    </row>
    <row r="7" spans="1:14" x14ac:dyDescent="0.2">
      <c r="B7" s="5" t="s">
        <v>38</v>
      </c>
    </row>
    <row r="8" spans="1:14" ht="15" x14ac:dyDescent="0.2">
      <c r="A8" s="81" t="s">
        <v>323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x14ac:dyDescent="0.2">
      <c r="A9" s="14" t="s">
        <v>16</v>
      </c>
      <c r="B9" s="11" t="s">
        <v>1408</v>
      </c>
      <c r="C9" s="11" t="s">
        <v>1613</v>
      </c>
      <c r="D9" s="11" t="s">
        <v>486</v>
      </c>
      <c r="E9" s="11" t="str">
        <f>"0,5731"</f>
        <v>0,5731</v>
      </c>
      <c r="F9" s="11" t="s">
        <v>20</v>
      </c>
      <c r="G9" s="11" t="s">
        <v>791</v>
      </c>
      <c r="H9" s="13" t="s">
        <v>118</v>
      </c>
      <c r="I9" s="14"/>
      <c r="J9" s="14"/>
      <c r="K9" s="14"/>
      <c r="L9" s="14" t="str">
        <f>"140,0"</f>
        <v>140,0</v>
      </c>
      <c r="M9" s="14" t="str">
        <f>"80,2410"</f>
        <v>80,2410</v>
      </c>
      <c r="N9" s="11" t="s">
        <v>59</v>
      </c>
    </row>
    <row r="10" spans="1:14" x14ac:dyDescent="0.2">
      <c r="A10" s="17" t="s">
        <v>16</v>
      </c>
      <c r="B10" s="15" t="s">
        <v>1614</v>
      </c>
      <c r="C10" s="15" t="s">
        <v>1615</v>
      </c>
      <c r="D10" s="15" t="s">
        <v>1616</v>
      </c>
      <c r="E10" s="15" t="str">
        <f>"0,5785"</f>
        <v>0,5785</v>
      </c>
      <c r="F10" s="15" t="s">
        <v>20</v>
      </c>
      <c r="G10" s="15" t="s">
        <v>1617</v>
      </c>
      <c r="H10" s="16" t="s">
        <v>107</v>
      </c>
      <c r="I10" s="16" t="s">
        <v>57</v>
      </c>
      <c r="J10" s="16" t="s">
        <v>90</v>
      </c>
      <c r="K10" s="17"/>
      <c r="L10" s="17" t="str">
        <f>"125,0"</f>
        <v>125,0</v>
      </c>
      <c r="M10" s="17" t="str">
        <f>"77,2297"</f>
        <v>77,2297</v>
      </c>
      <c r="N10" s="15" t="s">
        <v>59</v>
      </c>
    </row>
    <row r="11" spans="1:14" x14ac:dyDescent="0.2">
      <c r="A11" s="21" t="s">
        <v>16</v>
      </c>
      <c r="B11" s="19" t="s">
        <v>1408</v>
      </c>
      <c r="C11" s="19" t="s">
        <v>1409</v>
      </c>
      <c r="D11" s="19" t="s">
        <v>486</v>
      </c>
      <c r="E11" s="19" t="str">
        <f>"0,5731"</f>
        <v>0,5731</v>
      </c>
      <c r="F11" s="19" t="s">
        <v>20</v>
      </c>
      <c r="G11" s="19" t="s">
        <v>791</v>
      </c>
      <c r="H11" s="20" t="s">
        <v>118</v>
      </c>
      <c r="I11" s="21"/>
      <c r="J11" s="21"/>
      <c r="K11" s="21"/>
      <c r="L11" s="21" t="str">
        <f>"140,0"</f>
        <v>140,0</v>
      </c>
      <c r="M11" s="21" t="str">
        <f>"107,5229"</f>
        <v>107,5229</v>
      </c>
      <c r="N11" s="19" t="s">
        <v>59</v>
      </c>
    </row>
    <row r="12" spans="1:14" x14ac:dyDescent="0.2">
      <c r="B12" s="5" t="s">
        <v>38</v>
      </c>
    </row>
  </sheetData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L52"/>
  <sheetViews>
    <sheetView workbookViewId="0">
      <selection activeCell="B33" sqref="B33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23.140625" style="5" bestFit="1" customWidth="1"/>
    <col min="7" max="7" width="26" style="5" customWidth="1"/>
    <col min="8" max="8" width="10.42578125" style="6" customWidth="1"/>
    <col min="9" max="9" width="16.140625" style="27" customWidth="1"/>
    <col min="10" max="10" width="8.85546875" style="6" bestFit="1" customWidth="1"/>
    <col min="11" max="11" width="9.42578125" style="6" bestFit="1" customWidth="1"/>
    <col min="12" max="12" width="23" style="5" customWidth="1"/>
    <col min="13" max="16384" width="9.140625" style="3"/>
  </cols>
  <sheetData>
    <row r="1" spans="1:12" s="2" customFormat="1" ht="29.1" customHeight="1" x14ac:dyDescent="0.2">
      <c r="A1" s="83" t="s">
        <v>1618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1475</v>
      </c>
      <c r="F3" s="94" t="s">
        <v>6</v>
      </c>
      <c r="G3" s="94" t="s">
        <v>7</v>
      </c>
      <c r="H3" s="94" t="s">
        <v>1619</v>
      </c>
      <c r="I3" s="94"/>
      <c r="J3" s="94" t="s">
        <v>1620</v>
      </c>
      <c r="K3" s="94" t="s">
        <v>12</v>
      </c>
      <c r="L3" s="77" t="s">
        <v>13</v>
      </c>
    </row>
    <row r="4" spans="1:12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 t="s">
        <v>1621</v>
      </c>
      <c r="I4" s="26" t="s">
        <v>1622</v>
      </c>
      <c r="J4" s="93"/>
      <c r="K4" s="93"/>
      <c r="L4" s="78"/>
    </row>
    <row r="5" spans="1:12" ht="15" x14ac:dyDescent="0.2">
      <c r="A5" s="79" t="s">
        <v>48</v>
      </c>
      <c r="B5" s="79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0" t="s">
        <v>16</v>
      </c>
      <c r="B6" s="7" t="s">
        <v>1623</v>
      </c>
      <c r="C6" s="7" t="s">
        <v>1624</v>
      </c>
      <c r="D6" s="7" t="s">
        <v>1625</v>
      </c>
      <c r="E6" s="7" t="str">
        <f>"0,8641"</f>
        <v>0,8641</v>
      </c>
      <c r="F6" s="7" t="s">
        <v>20</v>
      </c>
      <c r="G6" s="7" t="s">
        <v>1626</v>
      </c>
      <c r="H6" s="10" t="s">
        <v>55</v>
      </c>
      <c r="I6" s="58">
        <v>19</v>
      </c>
      <c r="J6" s="10" t="str">
        <f>"1140,0"</f>
        <v>1140,0</v>
      </c>
      <c r="K6" s="10" t="str">
        <f>"1271,8041"</f>
        <v>1271,8041</v>
      </c>
      <c r="L6" s="7" t="s">
        <v>59</v>
      </c>
    </row>
    <row r="7" spans="1:12" x14ac:dyDescent="0.2">
      <c r="B7" s="5" t="s">
        <v>38</v>
      </c>
    </row>
    <row r="8" spans="1:12" ht="15" x14ac:dyDescent="0.2">
      <c r="A8" s="81" t="s">
        <v>73</v>
      </c>
      <c r="B8" s="81"/>
      <c r="C8" s="82"/>
      <c r="D8" s="82"/>
      <c r="E8" s="82"/>
      <c r="F8" s="82"/>
      <c r="G8" s="82"/>
      <c r="H8" s="82"/>
      <c r="I8" s="82"/>
      <c r="J8" s="82"/>
      <c r="K8" s="82"/>
    </row>
    <row r="9" spans="1:12" x14ac:dyDescent="0.2">
      <c r="A9" s="10" t="s">
        <v>16</v>
      </c>
      <c r="B9" s="7" t="s">
        <v>946</v>
      </c>
      <c r="C9" s="7" t="s">
        <v>947</v>
      </c>
      <c r="D9" s="7" t="s">
        <v>565</v>
      </c>
      <c r="E9" s="7" t="str">
        <f>"0,7561"</f>
        <v>0,7561</v>
      </c>
      <c r="F9" s="7" t="s">
        <v>20</v>
      </c>
      <c r="G9" s="7" t="s">
        <v>1454</v>
      </c>
      <c r="H9" s="10" t="s">
        <v>22</v>
      </c>
      <c r="I9" s="58">
        <v>24</v>
      </c>
      <c r="J9" s="10" t="str">
        <f>"1620,0"</f>
        <v>1620,0</v>
      </c>
      <c r="K9" s="10" t="str">
        <f>"1224,8820"</f>
        <v>1224,8820</v>
      </c>
      <c r="L9" s="7" t="s">
        <v>59</v>
      </c>
    </row>
    <row r="10" spans="1:12" x14ac:dyDescent="0.2">
      <c r="B10" s="5" t="s">
        <v>38</v>
      </c>
    </row>
    <row r="11" spans="1:12" ht="15" x14ac:dyDescent="0.2">
      <c r="A11" s="81" t="s">
        <v>131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</row>
    <row r="12" spans="1:12" x14ac:dyDescent="0.2">
      <c r="A12" s="14" t="s">
        <v>16</v>
      </c>
      <c r="B12" s="11" t="s">
        <v>1627</v>
      </c>
      <c r="C12" s="11" t="s">
        <v>1628</v>
      </c>
      <c r="D12" s="11" t="s">
        <v>170</v>
      </c>
      <c r="E12" s="11" t="str">
        <f>"0,6892"</f>
        <v>0,6892</v>
      </c>
      <c r="F12" s="11" t="s">
        <v>20</v>
      </c>
      <c r="G12" s="11" t="s">
        <v>1629</v>
      </c>
      <c r="H12" s="14" t="s">
        <v>23</v>
      </c>
      <c r="I12" s="59">
        <v>109</v>
      </c>
      <c r="J12" s="14" t="str">
        <f>"8175,0"</f>
        <v>8175,0</v>
      </c>
      <c r="K12" s="14" t="str">
        <f>"5634,2099"</f>
        <v>5634,2099</v>
      </c>
      <c r="L12" s="11" t="s">
        <v>59</v>
      </c>
    </row>
    <row r="13" spans="1:12" x14ac:dyDescent="0.2">
      <c r="A13" s="17" t="s">
        <v>60</v>
      </c>
      <c r="B13" s="15" t="s">
        <v>968</v>
      </c>
      <c r="C13" s="15" t="s">
        <v>969</v>
      </c>
      <c r="D13" s="15" t="s">
        <v>970</v>
      </c>
      <c r="E13" s="15" t="str">
        <f>"0,7102"</f>
        <v>0,7102</v>
      </c>
      <c r="F13" s="15" t="s">
        <v>20</v>
      </c>
      <c r="G13" s="15" t="s">
        <v>69</v>
      </c>
      <c r="H13" s="17" t="s">
        <v>379</v>
      </c>
      <c r="I13" s="60">
        <v>38</v>
      </c>
      <c r="J13" s="17" t="str">
        <f>"2755,0"</f>
        <v>2755,0</v>
      </c>
      <c r="K13" s="17" t="str">
        <f>"1956,6010"</f>
        <v>1956,6010</v>
      </c>
      <c r="L13" s="15" t="s">
        <v>1283</v>
      </c>
    </row>
    <row r="14" spans="1:12" x14ac:dyDescent="0.2">
      <c r="A14" s="17" t="s">
        <v>65</v>
      </c>
      <c r="B14" s="15" t="s">
        <v>975</v>
      </c>
      <c r="C14" s="15" t="s">
        <v>976</v>
      </c>
      <c r="D14" s="15" t="s">
        <v>977</v>
      </c>
      <c r="E14" s="15" t="str">
        <f>"0,6962"</f>
        <v>0,6962</v>
      </c>
      <c r="F14" s="15" t="s">
        <v>20</v>
      </c>
      <c r="G14" s="15" t="s">
        <v>605</v>
      </c>
      <c r="H14" s="17" t="s">
        <v>23</v>
      </c>
      <c r="I14" s="60">
        <v>29</v>
      </c>
      <c r="J14" s="17" t="str">
        <f>"2175,0"</f>
        <v>2175,0</v>
      </c>
      <c r="K14" s="17" t="str">
        <f>"1514,1263"</f>
        <v>1514,1263</v>
      </c>
      <c r="L14" s="15" t="s">
        <v>59</v>
      </c>
    </row>
    <row r="15" spans="1:12" x14ac:dyDescent="0.2">
      <c r="A15" s="21" t="s">
        <v>182</v>
      </c>
      <c r="B15" s="19" t="s">
        <v>1630</v>
      </c>
      <c r="C15" s="19" t="s">
        <v>1631</v>
      </c>
      <c r="D15" s="19" t="s">
        <v>178</v>
      </c>
      <c r="E15" s="19" t="str">
        <f>"0,6927"</f>
        <v>0,6927</v>
      </c>
      <c r="F15" s="19" t="s">
        <v>20</v>
      </c>
      <c r="G15" s="19" t="s">
        <v>21</v>
      </c>
      <c r="H15" s="21" t="s">
        <v>23</v>
      </c>
      <c r="I15" s="61">
        <v>26</v>
      </c>
      <c r="J15" s="21" t="str">
        <f>"1950,0"</f>
        <v>1950,0</v>
      </c>
      <c r="K15" s="21" t="str">
        <f>"1350,6675"</f>
        <v>1350,6675</v>
      </c>
      <c r="L15" s="19" t="s">
        <v>59</v>
      </c>
    </row>
    <row r="16" spans="1:12" x14ac:dyDescent="0.2">
      <c r="B16" s="5" t="s">
        <v>38</v>
      </c>
    </row>
    <row r="17" spans="1:12" ht="15" x14ac:dyDescent="0.2">
      <c r="A17" s="81" t="s">
        <v>192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</row>
    <row r="18" spans="1:12" x14ac:dyDescent="0.2">
      <c r="A18" s="14" t="s">
        <v>16</v>
      </c>
      <c r="B18" s="11" t="s">
        <v>1006</v>
      </c>
      <c r="C18" s="11" t="s">
        <v>1632</v>
      </c>
      <c r="D18" s="11" t="s">
        <v>1633</v>
      </c>
      <c r="E18" s="11" t="str">
        <f>"0,6848"</f>
        <v>0,6848</v>
      </c>
      <c r="F18" s="11" t="s">
        <v>20</v>
      </c>
      <c r="G18" s="11" t="s">
        <v>1009</v>
      </c>
      <c r="H18" s="14" t="s">
        <v>373</v>
      </c>
      <c r="I18" s="59">
        <v>32</v>
      </c>
      <c r="J18" s="14" t="str">
        <f>"2480,0"</f>
        <v>2480,0</v>
      </c>
      <c r="K18" s="14" t="str">
        <f>"1698,3041"</f>
        <v>1698,3041</v>
      </c>
      <c r="L18" s="11" t="s">
        <v>59</v>
      </c>
    </row>
    <row r="19" spans="1:12" x14ac:dyDescent="0.2">
      <c r="A19" s="17" t="s">
        <v>16</v>
      </c>
      <c r="B19" s="15" t="s">
        <v>1489</v>
      </c>
      <c r="C19" s="15" t="s">
        <v>1490</v>
      </c>
      <c r="D19" s="15" t="s">
        <v>1491</v>
      </c>
      <c r="E19" s="15" t="str">
        <f>"0,6479"</f>
        <v>0,6479</v>
      </c>
      <c r="F19" s="15" t="s">
        <v>20</v>
      </c>
      <c r="G19" s="15" t="s">
        <v>233</v>
      </c>
      <c r="H19" s="17" t="s">
        <v>108</v>
      </c>
      <c r="I19" s="60">
        <v>33</v>
      </c>
      <c r="J19" s="17" t="str">
        <f>"2722,5"</f>
        <v>2722,5</v>
      </c>
      <c r="K19" s="17" t="str">
        <f>"1763,9759"</f>
        <v>1763,9759</v>
      </c>
      <c r="L19" s="15" t="s">
        <v>59</v>
      </c>
    </row>
    <row r="20" spans="1:12" x14ac:dyDescent="0.2">
      <c r="A20" s="17" t="s">
        <v>60</v>
      </c>
      <c r="B20" s="15" t="s">
        <v>775</v>
      </c>
      <c r="C20" s="15" t="s">
        <v>776</v>
      </c>
      <c r="D20" s="15" t="s">
        <v>777</v>
      </c>
      <c r="E20" s="15" t="str">
        <f>"0,6718"</f>
        <v>0,6718</v>
      </c>
      <c r="F20" s="15" t="s">
        <v>20</v>
      </c>
      <c r="G20" s="15" t="s">
        <v>69</v>
      </c>
      <c r="H20" s="17" t="s">
        <v>35</v>
      </c>
      <c r="I20" s="60">
        <v>32</v>
      </c>
      <c r="J20" s="17" t="str">
        <f>"2560,0"</f>
        <v>2560,0</v>
      </c>
      <c r="K20" s="17" t="str">
        <f>"1719,8080"</f>
        <v>1719,8080</v>
      </c>
      <c r="L20" s="15" t="s">
        <v>59</v>
      </c>
    </row>
    <row r="21" spans="1:12" x14ac:dyDescent="0.2">
      <c r="A21" s="17" t="s">
        <v>16</v>
      </c>
      <c r="B21" s="15" t="s">
        <v>1489</v>
      </c>
      <c r="C21" s="15" t="s">
        <v>1495</v>
      </c>
      <c r="D21" s="15" t="s">
        <v>1491</v>
      </c>
      <c r="E21" s="15" t="str">
        <f>"0,6479"</f>
        <v>0,6479</v>
      </c>
      <c r="F21" s="15" t="s">
        <v>20</v>
      </c>
      <c r="G21" s="15" t="s">
        <v>233</v>
      </c>
      <c r="H21" s="17" t="s">
        <v>108</v>
      </c>
      <c r="I21" s="60">
        <v>33</v>
      </c>
      <c r="J21" s="17" t="str">
        <f>"2722,5"</f>
        <v>2722,5</v>
      </c>
      <c r="K21" s="17" t="str">
        <f>"2088,5474"</f>
        <v>2088,5474</v>
      </c>
      <c r="L21" s="15" t="s">
        <v>59</v>
      </c>
    </row>
    <row r="22" spans="1:12" x14ac:dyDescent="0.2">
      <c r="A22" s="17" t="s">
        <v>60</v>
      </c>
      <c r="B22" s="15" t="s">
        <v>1634</v>
      </c>
      <c r="C22" s="15" t="s">
        <v>1635</v>
      </c>
      <c r="D22" s="15" t="s">
        <v>216</v>
      </c>
      <c r="E22" s="15" t="str">
        <f>"0,6606"</f>
        <v>0,6606</v>
      </c>
      <c r="F22" s="15" t="s">
        <v>20</v>
      </c>
      <c r="G22" s="15" t="s">
        <v>69</v>
      </c>
      <c r="H22" s="17" t="s">
        <v>35</v>
      </c>
      <c r="I22" s="60">
        <v>29</v>
      </c>
      <c r="J22" s="17" t="str">
        <f>"2320,0"</f>
        <v>2320,0</v>
      </c>
      <c r="K22" s="17" t="str">
        <f>"1909,6097"</f>
        <v>1909,6097</v>
      </c>
      <c r="L22" s="15" t="s">
        <v>59</v>
      </c>
    </row>
    <row r="23" spans="1:12" x14ac:dyDescent="0.2">
      <c r="A23" s="21" t="s">
        <v>16</v>
      </c>
      <c r="B23" s="19" t="s">
        <v>1636</v>
      </c>
      <c r="C23" s="19" t="s">
        <v>1637</v>
      </c>
      <c r="D23" s="19" t="s">
        <v>1019</v>
      </c>
      <c r="E23" s="19" t="str">
        <f>"0,6513"</f>
        <v>0,6513</v>
      </c>
      <c r="F23" s="19" t="s">
        <v>20</v>
      </c>
      <c r="G23" s="19" t="s">
        <v>579</v>
      </c>
      <c r="H23" s="21" t="s">
        <v>108</v>
      </c>
      <c r="I23" s="61">
        <v>26</v>
      </c>
      <c r="J23" s="21" t="str">
        <f>"2145,0"</f>
        <v>2145,0</v>
      </c>
      <c r="K23" s="21" t="str">
        <f>"1908,3546"</f>
        <v>1908,3546</v>
      </c>
      <c r="L23" s="19" t="s">
        <v>59</v>
      </c>
    </row>
    <row r="24" spans="1:12" x14ac:dyDescent="0.2">
      <c r="B24" s="5" t="s">
        <v>38</v>
      </c>
    </row>
    <row r="25" spans="1:12" ht="15" x14ac:dyDescent="0.2">
      <c r="A25" s="81" t="s">
        <v>246</v>
      </c>
      <c r="B25" s="81"/>
      <c r="C25" s="82"/>
      <c r="D25" s="82"/>
      <c r="E25" s="82"/>
      <c r="F25" s="82"/>
      <c r="G25" s="82"/>
      <c r="H25" s="82"/>
      <c r="I25" s="82"/>
      <c r="J25" s="82"/>
      <c r="K25" s="82"/>
    </row>
    <row r="26" spans="1:12" x14ac:dyDescent="0.2">
      <c r="A26" s="14" t="s">
        <v>16</v>
      </c>
      <c r="B26" s="11" t="s">
        <v>1496</v>
      </c>
      <c r="C26" s="11" t="s">
        <v>1497</v>
      </c>
      <c r="D26" s="11" t="s">
        <v>835</v>
      </c>
      <c r="E26" s="11" t="str">
        <f>"0,6222"</f>
        <v>0,6222</v>
      </c>
      <c r="F26" s="11" t="s">
        <v>20</v>
      </c>
      <c r="G26" s="11" t="s">
        <v>874</v>
      </c>
      <c r="H26" s="14" t="s">
        <v>28</v>
      </c>
      <c r="I26" s="59">
        <v>33</v>
      </c>
      <c r="J26" s="14" t="str">
        <f>"2887,5"</f>
        <v>2887,5</v>
      </c>
      <c r="K26" s="14" t="str">
        <f>"1796,4581"</f>
        <v>1796,4581</v>
      </c>
      <c r="L26" s="11" t="s">
        <v>59</v>
      </c>
    </row>
    <row r="27" spans="1:12" x14ac:dyDescent="0.2">
      <c r="A27" s="17" t="s">
        <v>60</v>
      </c>
      <c r="B27" s="15" t="s">
        <v>1077</v>
      </c>
      <c r="C27" s="15" t="s">
        <v>1078</v>
      </c>
      <c r="D27" s="15" t="s">
        <v>1079</v>
      </c>
      <c r="E27" s="15" t="str">
        <f>"0,6234"</f>
        <v>0,6234</v>
      </c>
      <c r="F27" s="15" t="s">
        <v>20</v>
      </c>
      <c r="G27" s="15" t="s">
        <v>808</v>
      </c>
      <c r="H27" s="17" t="s">
        <v>28</v>
      </c>
      <c r="I27" s="60">
        <v>30</v>
      </c>
      <c r="J27" s="17" t="str">
        <f>"2625,0"</f>
        <v>2625,0</v>
      </c>
      <c r="K27" s="17" t="str">
        <f>"1636,4249"</f>
        <v>1636,4249</v>
      </c>
      <c r="L27" s="15" t="s">
        <v>59</v>
      </c>
    </row>
    <row r="28" spans="1:12" x14ac:dyDescent="0.2">
      <c r="A28" s="17" t="s">
        <v>16</v>
      </c>
      <c r="B28" s="15" t="s">
        <v>1496</v>
      </c>
      <c r="C28" s="15" t="s">
        <v>1505</v>
      </c>
      <c r="D28" s="15" t="s">
        <v>835</v>
      </c>
      <c r="E28" s="15" t="str">
        <f>"0,6222"</f>
        <v>0,6222</v>
      </c>
      <c r="F28" s="15" t="s">
        <v>20</v>
      </c>
      <c r="G28" s="15" t="s">
        <v>265</v>
      </c>
      <c r="H28" s="17" t="s">
        <v>28</v>
      </c>
      <c r="I28" s="60">
        <v>33</v>
      </c>
      <c r="J28" s="17" t="str">
        <f>"2887,5"</f>
        <v>2887,5</v>
      </c>
      <c r="K28" s="17" t="str">
        <f>"2029,9977"</f>
        <v>2029,9977</v>
      </c>
      <c r="L28" s="15" t="s">
        <v>59</v>
      </c>
    </row>
    <row r="29" spans="1:12" x14ac:dyDescent="0.2">
      <c r="A29" s="21" t="s">
        <v>60</v>
      </c>
      <c r="B29" s="19" t="s">
        <v>1127</v>
      </c>
      <c r="C29" s="19" t="s">
        <v>1128</v>
      </c>
      <c r="D29" s="19" t="s">
        <v>1638</v>
      </c>
      <c r="E29" s="19" t="str">
        <f>"0,6241"</f>
        <v>0,6241</v>
      </c>
      <c r="F29" s="19" t="s">
        <v>190</v>
      </c>
      <c r="G29" s="19" t="s">
        <v>1407</v>
      </c>
      <c r="H29" s="21" t="s">
        <v>28</v>
      </c>
      <c r="I29" s="61">
        <v>19</v>
      </c>
      <c r="J29" s="21" t="str">
        <f>"1662,5"</f>
        <v>1662,5</v>
      </c>
      <c r="K29" s="21" t="str">
        <f>"1339,3908"</f>
        <v>1339,3908</v>
      </c>
      <c r="L29" s="19" t="s">
        <v>59</v>
      </c>
    </row>
    <row r="30" spans="1:12" x14ac:dyDescent="0.2">
      <c r="B30" s="5" t="s">
        <v>38</v>
      </c>
    </row>
    <row r="31" spans="1:12" ht="15" x14ac:dyDescent="0.2">
      <c r="A31" s="81" t="s">
        <v>295</v>
      </c>
      <c r="B31" s="81"/>
      <c r="C31" s="82"/>
      <c r="D31" s="82"/>
      <c r="E31" s="82"/>
      <c r="F31" s="82"/>
      <c r="G31" s="82"/>
      <c r="H31" s="82"/>
      <c r="I31" s="82"/>
      <c r="J31" s="82"/>
      <c r="K31" s="82"/>
    </row>
    <row r="32" spans="1:12" x14ac:dyDescent="0.2">
      <c r="A32" s="14" t="s">
        <v>16</v>
      </c>
      <c r="B32" s="11" t="s">
        <v>1639</v>
      </c>
      <c r="C32" s="11" t="s">
        <v>1640</v>
      </c>
      <c r="D32" s="11" t="s">
        <v>1641</v>
      </c>
      <c r="E32" s="11" t="str">
        <f>"0,5927"</f>
        <v>0,5927</v>
      </c>
      <c r="F32" s="11" t="s">
        <v>20</v>
      </c>
      <c r="G32" s="11" t="s">
        <v>69</v>
      </c>
      <c r="H32" s="14" t="s">
        <v>46</v>
      </c>
      <c r="I32" s="59">
        <v>26</v>
      </c>
      <c r="J32" s="14" t="str">
        <f>"2535,0"</f>
        <v>2535,0</v>
      </c>
      <c r="K32" s="14" t="str">
        <f>"1502,4945"</f>
        <v>1502,4945</v>
      </c>
      <c r="L32" s="11" t="s">
        <v>1642</v>
      </c>
    </row>
    <row r="33" spans="1:12" x14ac:dyDescent="0.2">
      <c r="A33" s="21" t="s">
        <v>60</v>
      </c>
      <c r="B33" s="19" t="s">
        <v>1506</v>
      </c>
      <c r="C33" s="19" t="s">
        <v>1507</v>
      </c>
      <c r="D33" s="19" t="s">
        <v>1508</v>
      </c>
      <c r="E33" s="19" t="str">
        <f>"0,6054"</f>
        <v>0,6054</v>
      </c>
      <c r="F33" s="19" t="s">
        <v>20</v>
      </c>
      <c r="G33" s="19" t="s">
        <v>21</v>
      </c>
      <c r="H33" s="21" t="s">
        <v>64</v>
      </c>
      <c r="I33" s="61">
        <v>23</v>
      </c>
      <c r="J33" s="21" t="str">
        <f>"2127,5"</f>
        <v>2127,5</v>
      </c>
      <c r="K33" s="21" t="str">
        <f>"1287,8822"</f>
        <v>1287,8822</v>
      </c>
      <c r="L33" s="19" t="s">
        <v>59</v>
      </c>
    </row>
    <row r="34" spans="1:12" x14ac:dyDescent="0.2">
      <c r="B34" s="5" t="s">
        <v>38</v>
      </c>
    </row>
    <row r="35" spans="1:12" ht="15" x14ac:dyDescent="0.2">
      <c r="A35" s="81" t="s">
        <v>323</v>
      </c>
      <c r="B35" s="81"/>
      <c r="C35" s="82"/>
      <c r="D35" s="82"/>
      <c r="E35" s="82"/>
      <c r="F35" s="82"/>
      <c r="G35" s="82"/>
      <c r="H35" s="82"/>
      <c r="I35" s="82"/>
      <c r="J35" s="82"/>
      <c r="K35" s="82"/>
    </row>
    <row r="36" spans="1:12" x14ac:dyDescent="0.2">
      <c r="A36" s="14" t="s">
        <v>16</v>
      </c>
      <c r="B36" s="11" t="s">
        <v>1519</v>
      </c>
      <c r="C36" s="11" t="s">
        <v>1520</v>
      </c>
      <c r="D36" s="11" t="s">
        <v>1521</v>
      </c>
      <c r="E36" s="11" t="str">
        <f>"0,5681"</f>
        <v>0,5681</v>
      </c>
      <c r="F36" s="11" t="s">
        <v>20</v>
      </c>
      <c r="G36" s="11" t="s">
        <v>21</v>
      </c>
      <c r="H36" s="14" t="s">
        <v>378</v>
      </c>
      <c r="I36" s="59">
        <v>20</v>
      </c>
      <c r="J36" s="14" t="str">
        <f>"2150,0"</f>
        <v>2150,0</v>
      </c>
      <c r="K36" s="14" t="str">
        <f>"1221,4149"</f>
        <v>1221,4149</v>
      </c>
      <c r="L36" s="11" t="s">
        <v>59</v>
      </c>
    </row>
    <row r="37" spans="1:12" x14ac:dyDescent="0.2">
      <c r="A37" s="17" t="s">
        <v>60</v>
      </c>
      <c r="B37" s="15" t="s">
        <v>1643</v>
      </c>
      <c r="C37" s="15" t="s">
        <v>1644</v>
      </c>
      <c r="D37" s="15" t="s">
        <v>1645</v>
      </c>
      <c r="E37" s="15" t="str">
        <f>"0,5718"</f>
        <v>0,5718</v>
      </c>
      <c r="F37" s="15" t="s">
        <v>20</v>
      </c>
      <c r="G37" s="15" t="s">
        <v>69</v>
      </c>
      <c r="H37" s="17" t="s">
        <v>37</v>
      </c>
      <c r="I37" s="60">
        <v>13</v>
      </c>
      <c r="J37" s="17" t="str">
        <f>"1365,0"</f>
        <v>1365,0</v>
      </c>
      <c r="K37" s="17" t="str">
        <f>"780,5070"</f>
        <v>780,5070</v>
      </c>
      <c r="L37" s="15" t="s">
        <v>59</v>
      </c>
    </row>
    <row r="38" spans="1:12" x14ac:dyDescent="0.2">
      <c r="A38" s="17" t="s">
        <v>16</v>
      </c>
      <c r="B38" s="15" t="s">
        <v>330</v>
      </c>
      <c r="C38" s="15" t="s">
        <v>331</v>
      </c>
      <c r="D38" s="15" t="s">
        <v>1522</v>
      </c>
      <c r="E38" s="15" t="str">
        <f>"0,5648"</f>
        <v>0,5648</v>
      </c>
      <c r="F38" s="15" t="s">
        <v>20</v>
      </c>
      <c r="G38" s="15" t="s">
        <v>279</v>
      </c>
      <c r="H38" s="17" t="s">
        <v>82</v>
      </c>
      <c r="I38" s="60">
        <v>16</v>
      </c>
      <c r="J38" s="17" t="str">
        <f>"1760,0"</f>
        <v>1760,0</v>
      </c>
      <c r="K38" s="17" t="str">
        <f>"1036,7462"</f>
        <v>1036,7462</v>
      </c>
      <c r="L38" s="15" t="s">
        <v>59</v>
      </c>
    </row>
    <row r="39" spans="1:12" x14ac:dyDescent="0.2">
      <c r="A39" s="21" t="s">
        <v>16</v>
      </c>
      <c r="B39" s="19" t="s">
        <v>1646</v>
      </c>
      <c r="C39" s="19" t="s">
        <v>1647</v>
      </c>
      <c r="D39" s="19" t="s">
        <v>1648</v>
      </c>
      <c r="E39" s="19" t="str">
        <f>"0,5630"</f>
        <v>0,5630</v>
      </c>
      <c r="F39" s="19" t="s">
        <v>20</v>
      </c>
      <c r="G39" s="19" t="s">
        <v>967</v>
      </c>
      <c r="H39" s="21" t="s">
        <v>82</v>
      </c>
      <c r="I39" s="61">
        <v>17</v>
      </c>
      <c r="J39" s="21" t="str">
        <f>"1870,0"</f>
        <v>1870,0</v>
      </c>
      <c r="K39" s="21" t="str">
        <f>"1207,5731"</f>
        <v>1207,5731</v>
      </c>
      <c r="L39" s="19" t="s">
        <v>59</v>
      </c>
    </row>
    <row r="40" spans="1:12" x14ac:dyDescent="0.2">
      <c r="B40" s="5" t="s">
        <v>38</v>
      </c>
    </row>
    <row r="41" spans="1:12" ht="15" x14ac:dyDescent="0.2">
      <c r="A41" s="81" t="s">
        <v>333</v>
      </c>
      <c r="B41" s="81"/>
      <c r="C41" s="82"/>
      <c r="D41" s="82"/>
      <c r="E41" s="82"/>
      <c r="F41" s="82"/>
      <c r="G41" s="82"/>
      <c r="H41" s="82"/>
      <c r="I41" s="82"/>
      <c r="J41" s="82"/>
      <c r="K41" s="82"/>
    </row>
    <row r="42" spans="1:12" x14ac:dyDescent="0.2">
      <c r="A42" s="10" t="s">
        <v>16</v>
      </c>
      <c r="B42" s="7" t="s">
        <v>1524</v>
      </c>
      <c r="C42" s="7" t="s">
        <v>1525</v>
      </c>
      <c r="D42" s="7" t="s">
        <v>1203</v>
      </c>
      <c r="E42" s="7" t="str">
        <f>"0,5496"</f>
        <v>0,5496</v>
      </c>
      <c r="F42" s="7" t="s">
        <v>20</v>
      </c>
      <c r="G42" s="7" t="s">
        <v>21</v>
      </c>
      <c r="H42" s="10" t="s">
        <v>57</v>
      </c>
      <c r="I42" s="58">
        <v>20</v>
      </c>
      <c r="J42" s="10" t="str">
        <f>"2450,0"</f>
        <v>2450,0</v>
      </c>
      <c r="K42" s="10" t="str">
        <f>"1346,5200"</f>
        <v>1346,5200</v>
      </c>
      <c r="L42" s="7" t="s">
        <v>59</v>
      </c>
    </row>
    <row r="43" spans="1:12" x14ac:dyDescent="0.2">
      <c r="B43" s="5" t="s">
        <v>38</v>
      </c>
    </row>
    <row r="44" spans="1:12" ht="15" x14ac:dyDescent="0.2">
      <c r="B44" s="5" t="s">
        <v>38</v>
      </c>
      <c r="F44" s="23"/>
    </row>
    <row r="45" spans="1:12" x14ac:dyDescent="0.2">
      <c r="B45" s="5" t="s">
        <v>38</v>
      </c>
    </row>
    <row r="46" spans="1:12" ht="18" x14ac:dyDescent="0.2">
      <c r="B46" s="24" t="s">
        <v>340</v>
      </c>
      <c r="C46" s="24"/>
      <c r="G46" s="3"/>
    </row>
    <row r="47" spans="1:12" ht="15" x14ac:dyDescent="0.2">
      <c r="B47" s="73" t="s">
        <v>341</v>
      </c>
      <c r="C47" s="73"/>
      <c r="G47" s="3"/>
    </row>
    <row r="48" spans="1:12" ht="14.25" x14ac:dyDescent="0.2">
      <c r="B48" s="25"/>
      <c r="C48" s="25" t="s">
        <v>358</v>
      </c>
      <c r="G48" s="3"/>
    </row>
    <row r="49" spans="2:7" ht="15" x14ac:dyDescent="0.2">
      <c r="B49" s="4" t="s">
        <v>343</v>
      </c>
      <c r="C49" s="4" t="s">
        <v>344</v>
      </c>
      <c r="D49" s="4" t="s">
        <v>345</v>
      </c>
      <c r="E49" s="4" t="s">
        <v>1620</v>
      </c>
      <c r="F49" s="4" t="s">
        <v>1531</v>
      </c>
      <c r="G49" s="3"/>
    </row>
    <row r="50" spans="2:7" x14ac:dyDescent="0.2">
      <c r="B50" s="5" t="s">
        <v>1627</v>
      </c>
      <c r="C50" s="5" t="s">
        <v>358</v>
      </c>
      <c r="D50" s="6" t="s">
        <v>349</v>
      </c>
      <c r="E50" s="6" t="s">
        <v>1649</v>
      </c>
      <c r="F50" s="6" t="s">
        <v>1650</v>
      </c>
      <c r="G50" s="3"/>
    </row>
    <row r="51" spans="2:7" x14ac:dyDescent="0.2">
      <c r="B51" s="5" t="s">
        <v>968</v>
      </c>
      <c r="C51" s="5" t="s">
        <v>358</v>
      </c>
      <c r="D51" s="6" t="s">
        <v>349</v>
      </c>
      <c r="E51" s="6" t="s">
        <v>1651</v>
      </c>
      <c r="F51" s="6" t="s">
        <v>1652</v>
      </c>
      <c r="G51" s="3"/>
    </row>
    <row r="52" spans="2:7" x14ac:dyDescent="0.2">
      <c r="B52" s="5" t="s">
        <v>1496</v>
      </c>
      <c r="C52" s="5" t="s">
        <v>358</v>
      </c>
      <c r="D52" s="6" t="s">
        <v>352</v>
      </c>
      <c r="E52" s="6" t="s">
        <v>1653</v>
      </c>
      <c r="F52" s="6" t="s">
        <v>1654</v>
      </c>
      <c r="G52" s="3"/>
    </row>
  </sheetData>
  <mergeCells count="20">
    <mergeCell ref="A17:K17"/>
    <mergeCell ref="A25:K25"/>
    <mergeCell ref="A31:K31"/>
    <mergeCell ref="A35:K35"/>
    <mergeCell ref="A41:K41"/>
    <mergeCell ref="A8:K8"/>
    <mergeCell ref="A11:K11"/>
    <mergeCell ref="A1:L2"/>
    <mergeCell ref="A3:A4"/>
    <mergeCell ref="C3:C4"/>
    <mergeCell ref="D3:D4"/>
    <mergeCell ref="E3:E4"/>
    <mergeCell ref="F3:F4"/>
    <mergeCell ref="G3:G4"/>
    <mergeCell ref="H3:I3"/>
    <mergeCell ref="B3:B4"/>
    <mergeCell ref="J3:J4"/>
    <mergeCell ref="K3:K4"/>
    <mergeCell ref="L3:L4"/>
    <mergeCell ref="A5:K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L52"/>
  <sheetViews>
    <sheetView workbookViewId="0">
      <selection sqref="A1:L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5.140625" style="5" customWidth="1"/>
    <col min="8" max="8" width="10.42578125" style="6" customWidth="1"/>
    <col min="9" max="9" width="14.42578125" style="27" customWidth="1"/>
    <col min="10" max="10" width="8.85546875" style="6" bestFit="1" customWidth="1"/>
    <col min="11" max="11" width="9.42578125" style="6" bestFit="1" customWidth="1"/>
    <col min="12" max="12" width="31.140625" style="5" bestFit="1" customWidth="1"/>
    <col min="13" max="16384" width="9.140625" style="3"/>
  </cols>
  <sheetData>
    <row r="1" spans="1:12" s="2" customFormat="1" ht="29.1" customHeight="1" x14ac:dyDescent="0.2">
      <c r="A1" s="83" t="s">
        <v>1655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1475</v>
      </c>
      <c r="F3" s="94" t="s">
        <v>6</v>
      </c>
      <c r="G3" s="94" t="s">
        <v>7</v>
      </c>
      <c r="H3" s="94" t="s">
        <v>1619</v>
      </c>
      <c r="I3" s="94"/>
      <c r="J3" s="94" t="s">
        <v>1620</v>
      </c>
      <c r="K3" s="94" t="s">
        <v>12</v>
      </c>
      <c r="L3" s="77" t="s">
        <v>13</v>
      </c>
    </row>
    <row r="4" spans="1:12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 t="s">
        <v>1621</v>
      </c>
      <c r="I4" s="26" t="s">
        <v>1622</v>
      </c>
      <c r="J4" s="93"/>
      <c r="K4" s="93"/>
      <c r="L4" s="78"/>
    </row>
    <row r="5" spans="1:12" ht="15" x14ac:dyDescent="0.2">
      <c r="A5" s="79" t="s">
        <v>131</v>
      </c>
      <c r="B5" s="79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0" t="s">
        <v>16</v>
      </c>
      <c r="B6" s="7" t="s">
        <v>1656</v>
      </c>
      <c r="C6" s="7" t="s">
        <v>1657</v>
      </c>
      <c r="D6" s="7" t="s">
        <v>769</v>
      </c>
      <c r="E6" s="7" t="str">
        <f>"0,8436"</f>
        <v>0,8436</v>
      </c>
      <c r="F6" s="7" t="s">
        <v>20</v>
      </c>
      <c r="G6" s="7" t="s">
        <v>69</v>
      </c>
      <c r="H6" s="10" t="s">
        <v>23</v>
      </c>
      <c r="I6" s="58">
        <v>24</v>
      </c>
      <c r="J6" s="10" t="str">
        <f>"1800,0"</f>
        <v>1800,0</v>
      </c>
      <c r="K6" s="10" t="str">
        <f>"1518,5700"</f>
        <v>1518,5700</v>
      </c>
      <c r="L6" s="7" t="s">
        <v>59</v>
      </c>
    </row>
    <row r="7" spans="1:12" x14ac:dyDescent="0.2">
      <c r="B7" s="5" t="s">
        <v>38</v>
      </c>
    </row>
    <row r="8" spans="1:12" ht="15" x14ac:dyDescent="0.2">
      <c r="A8" s="81" t="s">
        <v>73</v>
      </c>
      <c r="B8" s="81"/>
      <c r="C8" s="82"/>
      <c r="D8" s="82"/>
      <c r="E8" s="82"/>
      <c r="F8" s="82"/>
      <c r="G8" s="82"/>
      <c r="H8" s="82"/>
      <c r="I8" s="82"/>
      <c r="J8" s="82"/>
      <c r="K8" s="82"/>
    </row>
    <row r="9" spans="1:12" x14ac:dyDescent="0.2">
      <c r="A9" s="10" t="s">
        <v>16</v>
      </c>
      <c r="B9" s="7" t="s">
        <v>946</v>
      </c>
      <c r="C9" s="7" t="s">
        <v>947</v>
      </c>
      <c r="D9" s="7" t="s">
        <v>565</v>
      </c>
      <c r="E9" s="7" t="str">
        <f>"0,7561"</f>
        <v>0,7561</v>
      </c>
      <c r="F9" s="7" t="s">
        <v>20</v>
      </c>
      <c r="G9" s="7" t="s">
        <v>1456</v>
      </c>
      <c r="H9" s="10" t="s">
        <v>22</v>
      </c>
      <c r="I9" s="58">
        <v>24</v>
      </c>
      <c r="J9" s="10" t="str">
        <f>"1620,0"</f>
        <v>1620,0</v>
      </c>
      <c r="K9" s="10" t="str">
        <f>"1224,8820"</f>
        <v>1224,8820</v>
      </c>
      <c r="L9" s="7" t="s">
        <v>59</v>
      </c>
    </row>
    <row r="10" spans="1:12" x14ac:dyDescent="0.2">
      <c r="B10" s="5" t="s">
        <v>38</v>
      </c>
    </row>
    <row r="11" spans="1:12" ht="15" x14ac:dyDescent="0.2">
      <c r="A11" s="81" t="s">
        <v>131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</row>
    <row r="12" spans="1:12" x14ac:dyDescent="0.2">
      <c r="A12" s="10" t="s">
        <v>16</v>
      </c>
      <c r="B12" s="7" t="s">
        <v>1658</v>
      </c>
      <c r="C12" s="7" t="s">
        <v>1659</v>
      </c>
      <c r="D12" s="7" t="s">
        <v>977</v>
      </c>
      <c r="E12" s="7" t="str">
        <f>"0,6962"</f>
        <v>0,6962</v>
      </c>
      <c r="F12" s="7" t="s">
        <v>20</v>
      </c>
      <c r="G12" s="7" t="s">
        <v>1660</v>
      </c>
      <c r="H12" s="10" t="s">
        <v>23</v>
      </c>
      <c r="I12" s="58">
        <v>29</v>
      </c>
      <c r="J12" s="10" t="str">
        <f>"2175,0"</f>
        <v>2175,0</v>
      </c>
      <c r="K12" s="10" t="str">
        <f>"1514,1263"</f>
        <v>1514,1263</v>
      </c>
      <c r="L12" s="7" t="s">
        <v>59</v>
      </c>
    </row>
    <row r="13" spans="1:12" x14ac:dyDescent="0.2">
      <c r="B13" s="5" t="s">
        <v>38</v>
      </c>
    </row>
    <row r="14" spans="1:12" ht="15" x14ac:dyDescent="0.2">
      <c r="A14" s="81" t="s">
        <v>192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</row>
    <row r="15" spans="1:12" x14ac:dyDescent="0.2">
      <c r="A15" s="14" t="s">
        <v>16</v>
      </c>
      <c r="B15" s="11" t="s">
        <v>1661</v>
      </c>
      <c r="C15" s="11" t="s">
        <v>1662</v>
      </c>
      <c r="D15" s="11" t="s">
        <v>1053</v>
      </c>
      <c r="E15" s="11" t="str">
        <f>"0,6737"</f>
        <v>0,6737</v>
      </c>
      <c r="F15" s="11" t="s">
        <v>20</v>
      </c>
      <c r="G15" s="11" t="s">
        <v>69</v>
      </c>
      <c r="H15" s="14" t="s">
        <v>373</v>
      </c>
      <c r="I15" s="59">
        <v>49</v>
      </c>
      <c r="J15" s="14" t="str">
        <f>"3797,5"</f>
        <v>3797,5</v>
      </c>
      <c r="K15" s="14" t="str">
        <f>"2558,1860"</f>
        <v>2558,1860</v>
      </c>
      <c r="L15" s="11" t="s">
        <v>59</v>
      </c>
    </row>
    <row r="16" spans="1:12" x14ac:dyDescent="0.2">
      <c r="A16" s="17" t="s">
        <v>60</v>
      </c>
      <c r="B16" s="15" t="s">
        <v>1271</v>
      </c>
      <c r="C16" s="15" t="s">
        <v>1272</v>
      </c>
      <c r="D16" s="15" t="s">
        <v>1273</v>
      </c>
      <c r="E16" s="15" t="str">
        <f>"0,6573"</f>
        <v>0,6573</v>
      </c>
      <c r="F16" s="15" t="s">
        <v>20</v>
      </c>
      <c r="G16" s="15" t="s">
        <v>1663</v>
      </c>
      <c r="H16" s="17" t="s">
        <v>108</v>
      </c>
      <c r="I16" s="60">
        <v>43</v>
      </c>
      <c r="J16" s="17" t="str">
        <f>"3547,5"</f>
        <v>3547,5</v>
      </c>
      <c r="K16" s="17" t="str">
        <f>"2331,7717"</f>
        <v>2331,7717</v>
      </c>
      <c r="L16" s="15" t="s">
        <v>1664</v>
      </c>
    </row>
    <row r="17" spans="1:12" x14ac:dyDescent="0.2">
      <c r="A17" s="17" t="s">
        <v>65</v>
      </c>
      <c r="B17" s="15" t="s">
        <v>1665</v>
      </c>
      <c r="C17" s="15" t="s">
        <v>806</v>
      </c>
      <c r="D17" s="15" t="s">
        <v>211</v>
      </c>
      <c r="E17" s="15" t="str">
        <f>"0,6461"</f>
        <v>0,6461</v>
      </c>
      <c r="F17" s="15" t="s">
        <v>672</v>
      </c>
      <c r="G17" s="15" t="s">
        <v>1666</v>
      </c>
      <c r="H17" s="17" t="s">
        <v>108</v>
      </c>
      <c r="I17" s="60">
        <v>37</v>
      </c>
      <c r="J17" s="17" t="str">
        <f>"3052,5"</f>
        <v>3052,5</v>
      </c>
      <c r="K17" s="17" t="str">
        <f>"1972,3729"</f>
        <v>1972,3729</v>
      </c>
      <c r="L17" s="15" t="s">
        <v>59</v>
      </c>
    </row>
    <row r="18" spans="1:12" x14ac:dyDescent="0.2">
      <c r="A18" s="17" t="s">
        <v>182</v>
      </c>
      <c r="B18" s="15" t="s">
        <v>1667</v>
      </c>
      <c r="C18" s="15" t="s">
        <v>1668</v>
      </c>
      <c r="D18" s="15" t="s">
        <v>1669</v>
      </c>
      <c r="E18" s="15" t="str">
        <f>"0,6743"</f>
        <v>0,6743</v>
      </c>
      <c r="F18" s="15" t="s">
        <v>20</v>
      </c>
      <c r="G18" s="15" t="s">
        <v>865</v>
      </c>
      <c r="H18" s="17" t="s">
        <v>373</v>
      </c>
      <c r="I18" s="60">
        <v>36</v>
      </c>
      <c r="J18" s="17" t="str">
        <f>"2790,0"</f>
        <v>2790,0</v>
      </c>
      <c r="K18" s="17" t="str">
        <f>"1881,1575"</f>
        <v>1881,1575</v>
      </c>
      <c r="L18" s="15" t="s">
        <v>1670</v>
      </c>
    </row>
    <row r="19" spans="1:12" x14ac:dyDescent="0.2">
      <c r="A19" s="17" t="s">
        <v>276</v>
      </c>
      <c r="B19" s="15" t="s">
        <v>1671</v>
      </c>
      <c r="C19" s="15" t="s">
        <v>1672</v>
      </c>
      <c r="D19" s="15" t="s">
        <v>195</v>
      </c>
      <c r="E19" s="15" t="str">
        <f>"0,6477"</f>
        <v>0,6477</v>
      </c>
      <c r="F19" s="15" t="s">
        <v>20</v>
      </c>
      <c r="G19" s="15" t="s">
        <v>1673</v>
      </c>
      <c r="H19" s="17" t="s">
        <v>108</v>
      </c>
      <c r="I19" s="60">
        <v>30</v>
      </c>
      <c r="J19" s="17" t="str">
        <f>"2475,0"</f>
        <v>2475,0</v>
      </c>
      <c r="K19" s="17" t="str">
        <f>"1602,9338"</f>
        <v>1602,9338</v>
      </c>
      <c r="L19" s="15" t="s">
        <v>59</v>
      </c>
    </row>
    <row r="20" spans="1:12" x14ac:dyDescent="0.2">
      <c r="A20" s="21" t="s">
        <v>16</v>
      </c>
      <c r="B20" s="19" t="s">
        <v>1287</v>
      </c>
      <c r="C20" s="19" t="s">
        <v>1288</v>
      </c>
      <c r="D20" s="19" t="s">
        <v>226</v>
      </c>
      <c r="E20" s="19" t="str">
        <f>"0,6482"</f>
        <v>0,6482</v>
      </c>
      <c r="F20" s="19" t="s">
        <v>20</v>
      </c>
      <c r="G20" s="19" t="s">
        <v>1289</v>
      </c>
      <c r="H20" s="21" t="s">
        <v>108</v>
      </c>
      <c r="I20" s="61">
        <v>27</v>
      </c>
      <c r="J20" s="21" t="str">
        <f>"2227,5"</f>
        <v>2227,5</v>
      </c>
      <c r="K20" s="21" t="str">
        <f>"1799,0563"</f>
        <v>1799,0563</v>
      </c>
      <c r="L20" s="19" t="s">
        <v>1290</v>
      </c>
    </row>
    <row r="21" spans="1:12" x14ac:dyDescent="0.2">
      <c r="B21" s="5" t="s">
        <v>38</v>
      </c>
    </row>
    <row r="22" spans="1:12" ht="15" x14ac:dyDescent="0.2">
      <c r="A22" s="81" t="s">
        <v>246</v>
      </c>
      <c r="B22" s="81"/>
      <c r="C22" s="82"/>
      <c r="D22" s="82"/>
      <c r="E22" s="82"/>
      <c r="F22" s="82"/>
      <c r="G22" s="82"/>
      <c r="H22" s="82"/>
      <c r="I22" s="82"/>
      <c r="J22" s="82"/>
      <c r="K22" s="82"/>
    </row>
    <row r="23" spans="1:12" x14ac:dyDescent="0.2">
      <c r="A23" s="14" t="s">
        <v>16</v>
      </c>
      <c r="B23" s="11" t="s">
        <v>1674</v>
      </c>
      <c r="C23" s="11" t="s">
        <v>1675</v>
      </c>
      <c r="D23" s="11" t="s">
        <v>1676</v>
      </c>
      <c r="E23" s="11" t="str">
        <f>"0,6345"</f>
        <v>0,6345</v>
      </c>
      <c r="F23" s="11" t="s">
        <v>20</v>
      </c>
      <c r="G23" s="11" t="s">
        <v>401</v>
      </c>
      <c r="H23" s="14" t="s">
        <v>24</v>
      </c>
      <c r="I23" s="59">
        <v>45</v>
      </c>
      <c r="J23" s="14" t="str">
        <f>"3825,0"</f>
        <v>3825,0</v>
      </c>
      <c r="K23" s="14" t="str">
        <f>"2426,7713"</f>
        <v>2426,7713</v>
      </c>
      <c r="L23" s="11" t="s">
        <v>59</v>
      </c>
    </row>
    <row r="24" spans="1:12" x14ac:dyDescent="0.2">
      <c r="A24" s="17" t="s">
        <v>60</v>
      </c>
      <c r="B24" s="15" t="s">
        <v>1319</v>
      </c>
      <c r="C24" s="15" t="s">
        <v>1320</v>
      </c>
      <c r="D24" s="15" t="s">
        <v>1321</v>
      </c>
      <c r="E24" s="15" t="str">
        <f>"0,6188"</f>
        <v>0,6188</v>
      </c>
      <c r="F24" s="15" t="s">
        <v>20</v>
      </c>
      <c r="G24" s="15" t="s">
        <v>1677</v>
      </c>
      <c r="H24" s="17" t="s">
        <v>53</v>
      </c>
      <c r="I24" s="60">
        <v>33</v>
      </c>
      <c r="J24" s="17" t="str">
        <f>"2970,0"</f>
        <v>2970,0</v>
      </c>
      <c r="K24" s="17" t="str">
        <f>"1837,9845"</f>
        <v>1837,9845</v>
      </c>
      <c r="L24" s="15" t="s">
        <v>1322</v>
      </c>
    </row>
    <row r="25" spans="1:12" x14ac:dyDescent="0.2">
      <c r="A25" s="21" t="s">
        <v>16</v>
      </c>
      <c r="B25" s="19" t="s">
        <v>1674</v>
      </c>
      <c r="C25" s="19" t="s">
        <v>1678</v>
      </c>
      <c r="D25" s="19" t="s">
        <v>1676</v>
      </c>
      <c r="E25" s="19" t="str">
        <f>"0,6345"</f>
        <v>0,6345</v>
      </c>
      <c r="F25" s="19" t="s">
        <v>20</v>
      </c>
      <c r="G25" s="19" t="s">
        <v>401</v>
      </c>
      <c r="H25" s="21" t="s">
        <v>24</v>
      </c>
      <c r="I25" s="61">
        <v>45</v>
      </c>
      <c r="J25" s="21" t="str">
        <f>"3825,0"</f>
        <v>3825,0</v>
      </c>
      <c r="K25" s="21" t="str">
        <f>"2625,7666"</f>
        <v>2625,7666</v>
      </c>
      <c r="L25" s="19" t="s">
        <v>59</v>
      </c>
    </row>
    <row r="26" spans="1:12" x14ac:dyDescent="0.2">
      <c r="B26" s="5" t="s">
        <v>38</v>
      </c>
    </row>
    <row r="27" spans="1:12" ht="15" x14ac:dyDescent="0.2">
      <c r="A27" s="81" t="s">
        <v>295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</row>
    <row r="28" spans="1:12" x14ac:dyDescent="0.2">
      <c r="A28" s="14" t="s">
        <v>16</v>
      </c>
      <c r="B28" s="11" t="s">
        <v>1679</v>
      </c>
      <c r="C28" s="11" t="s">
        <v>1680</v>
      </c>
      <c r="D28" s="11" t="s">
        <v>320</v>
      </c>
      <c r="E28" s="11" t="str">
        <f>"0,5880"</f>
        <v>0,5880</v>
      </c>
      <c r="F28" s="11" t="s">
        <v>20</v>
      </c>
      <c r="G28" s="11" t="s">
        <v>233</v>
      </c>
      <c r="H28" s="14" t="s">
        <v>46</v>
      </c>
      <c r="I28" s="59">
        <v>17</v>
      </c>
      <c r="J28" s="14" t="str">
        <f>"1657,5"</f>
        <v>1657,5</v>
      </c>
      <c r="K28" s="14" t="str">
        <f>"974,6100"</f>
        <v>974,6100</v>
      </c>
      <c r="L28" s="11" t="s">
        <v>59</v>
      </c>
    </row>
    <row r="29" spans="1:12" x14ac:dyDescent="0.2">
      <c r="A29" s="17" t="s">
        <v>16</v>
      </c>
      <c r="B29" s="15" t="s">
        <v>1681</v>
      </c>
      <c r="C29" s="15" t="s">
        <v>1682</v>
      </c>
      <c r="D29" s="15" t="s">
        <v>1166</v>
      </c>
      <c r="E29" s="15" t="str">
        <f>"0,5828"</f>
        <v>0,5828</v>
      </c>
      <c r="F29" s="15" t="s">
        <v>20</v>
      </c>
      <c r="G29" s="15" t="s">
        <v>1683</v>
      </c>
      <c r="H29" s="17" t="s">
        <v>30</v>
      </c>
      <c r="I29" s="60">
        <v>49</v>
      </c>
      <c r="J29" s="17" t="str">
        <f>"4900,0"</f>
        <v>4900,0</v>
      </c>
      <c r="K29" s="17" t="str">
        <f>"2855,7199"</f>
        <v>2855,7199</v>
      </c>
      <c r="L29" s="15" t="s">
        <v>59</v>
      </c>
    </row>
    <row r="30" spans="1:12" x14ac:dyDescent="0.2">
      <c r="A30" s="17" t="s">
        <v>60</v>
      </c>
      <c r="B30" s="15" t="s">
        <v>1684</v>
      </c>
      <c r="C30" s="15" t="s">
        <v>1685</v>
      </c>
      <c r="D30" s="15" t="s">
        <v>474</v>
      </c>
      <c r="E30" s="15" t="str">
        <f>"0,5900"</f>
        <v>0,5900</v>
      </c>
      <c r="F30" s="15" t="s">
        <v>20</v>
      </c>
      <c r="G30" s="15" t="s">
        <v>633</v>
      </c>
      <c r="H30" s="17" t="s">
        <v>46</v>
      </c>
      <c r="I30" s="60">
        <v>38</v>
      </c>
      <c r="J30" s="17" t="str">
        <f>"3705,0"</f>
        <v>3705,0</v>
      </c>
      <c r="K30" s="17" t="str">
        <f>"2185,7648"</f>
        <v>2185,7648</v>
      </c>
      <c r="L30" s="15" t="s">
        <v>59</v>
      </c>
    </row>
    <row r="31" spans="1:12" x14ac:dyDescent="0.2">
      <c r="A31" s="17" t="s">
        <v>65</v>
      </c>
      <c r="B31" s="15" t="s">
        <v>1686</v>
      </c>
      <c r="C31" s="15" t="s">
        <v>1687</v>
      </c>
      <c r="D31" s="15" t="s">
        <v>1688</v>
      </c>
      <c r="E31" s="15" t="str">
        <f>"0,6061"</f>
        <v>0,6061</v>
      </c>
      <c r="F31" s="15" t="s">
        <v>20</v>
      </c>
      <c r="G31" s="15" t="s">
        <v>1498</v>
      </c>
      <c r="H31" s="17" t="s">
        <v>64</v>
      </c>
      <c r="I31" s="60">
        <v>30</v>
      </c>
      <c r="J31" s="17" t="str">
        <f>"2775,0"</f>
        <v>2775,0</v>
      </c>
      <c r="K31" s="17" t="str">
        <f>"1681,7888"</f>
        <v>1681,7888</v>
      </c>
      <c r="L31" s="15" t="s">
        <v>267</v>
      </c>
    </row>
    <row r="32" spans="1:12" x14ac:dyDescent="0.2">
      <c r="A32" s="21" t="s">
        <v>182</v>
      </c>
      <c r="B32" s="19" t="s">
        <v>1689</v>
      </c>
      <c r="C32" s="19" t="s">
        <v>1690</v>
      </c>
      <c r="D32" s="19" t="s">
        <v>1691</v>
      </c>
      <c r="E32" s="19" t="str">
        <f>"0,5922"</f>
        <v>0,5922</v>
      </c>
      <c r="F32" s="19" t="s">
        <v>96</v>
      </c>
      <c r="G32" s="19" t="s">
        <v>666</v>
      </c>
      <c r="H32" s="21" t="s">
        <v>46</v>
      </c>
      <c r="I32" s="61">
        <v>16</v>
      </c>
      <c r="J32" s="21" t="str">
        <f>"1560,0"</f>
        <v>1560,0</v>
      </c>
      <c r="K32" s="21" t="str">
        <f>"923,9100"</f>
        <v>923,9100</v>
      </c>
      <c r="L32" s="19" t="s">
        <v>102</v>
      </c>
    </row>
    <row r="33" spans="1:12" x14ac:dyDescent="0.2">
      <c r="B33" s="5" t="s">
        <v>38</v>
      </c>
    </row>
    <row r="34" spans="1:12" ht="15" x14ac:dyDescent="0.2">
      <c r="A34" s="81" t="s">
        <v>323</v>
      </c>
      <c r="B34" s="81"/>
      <c r="C34" s="82"/>
      <c r="D34" s="82"/>
      <c r="E34" s="82"/>
      <c r="F34" s="82"/>
      <c r="G34" s="82"/>
      <c r="H34" s="82"/>
      <c r="I34" s="82"/>
      <c r="J34" s="82"/>
      <c r="K34" s="82"/>
    </row>
    <row r="35" spans="1:12" x14ac:dyDescent="0.2">
      <c r="A35" s="14" t="s">
        <v>16</v>
      </c>
      <c r="B35" s="11" t="s">
        <v>1370</v>
      </c>
      <c r="C35" s="11" t="s">
        <v>1692</v>
      </c>
      <c r="D35" s="11" t="s">
        <v>1372</v>
      </c>
      <c r="E35" s="11" t="str">
        <f>"0,5706"</f>
        <v>0,5706</v>
      </c>
      <c r="F35" s="11" t="s">
        <v>20</v>
      </c>
      <c r="G35" s="11" t="s">
        <v>1373</v>
      </c>
      <c r="H35" s="14" t="s">
        <v>37</v>
      </c>
      <c r="I35" s="59">
        <v>22</v>
      </c>
      <c r="J35" s="14" t="str">
        <f>"2310,0"</f>
        <v>2310,0</v>
      </c>
      <c r="K35" s="14" t="str">
        <f>"1318,2015"</f>
        <v>1318,2015</v>
      </c>
      <c r="L35" s="11" t="s">
        <v>59</v>
      </c>
    </row>
    <row r="36" spans="1:12" x14ac:dyDescent="0.2">
      <c r="A36" s="17" t="s">
        <v>16</v>
      </c>
      <c r="B36" s="15" t="s">
        <v>330</v>
      </c>
      <c r="C36" s="15" t="s">
        <v>331</v>
      </c>
      <c r="D36" s="15" t="s">
        <v>1522</v>
      </c>
      <c r="E36" s="15" t="str">
        <f>"0,5648"</f>
        <v>0,5648</v>
      </c>
      <c r="F36" s="15" t="s">
        <v>20</v>
      </c>
      <c r="G36" s="15" t="s">
        <v>279</v>
      </c>
      <c r="H36" s="17" t="s">
        <v>82</v>
      </c>
      <c r="I36" s="60">
        <v>16</v>
      </c>
      <c r="J36" s="17" t="str">
        <f>"1760,0"</f>
        <v>1760,0</v>
      </c>
      <c r="K36" s="17" t="str">
        <f>"1036,7462"</f>
        <v>1036,7462</v>
      </c>
      <c r="L36" s="15" t="s">
        <v>59</v>
      </c>
    </row>
    <row r="37" spans="1:12" x14ac:dyDescent="0.2">
      <c r="A37" s="21" t="s">
        <v>60</v>
      </c>
      <c r="B37" s="19" t="s">
        <v>1405</v>
      </c>
      <c r="C37" s="19" t="s">
        <v>1406</v>
      </c>
      <c r="D37" s="19" t="s">
        <v>1378</v>
      </c>
      <c r="E37" s="19" t="str">
        <f>"0,5671"</f>
        <v>0,5671</v>
      </c>
      <c r="F37" s="19" t="s">
        <v>190</v>
      </c>
      <c r="G37" s="19" t="s">
        <v>1407</v>
      </c>
      <c r="H37" s="21" t="s">
        <v>378</v>
      </c>
      <c r="I37" s="61">
        <v>14</v>
      </c>
      <c r="J37" s="21" t="str">
        <f>"1505,0"</f>
        <v>1505,0</v>
      </c>
      <c r="K37" s="21" t="str">
        <f>"870,5552"</f>
        <v>870,5552</v>
      </c>
      <c r="L37" s="19" t="s">
        <v>59</v>
      </c>
    </row>
    <row r="38" spans="1:12" x14ac:dyDescent="0.2">
      <c r="B38" s="5" t="s">
        <v>38</v>
      </c>
    </row>
    <row r="39" spans="1:12" ht="15" x14ac:dyDescent="0.2">
      <c r="A39" s="81" t="s">
        <v>333</v>
      </c>
      <c r="B39" s="81"/>
      <c r="C39" s="82"/>
      <c r="D39" s="82"/>
      <c r="E39" s="82"/>
      <c r="F39" s="82"/>
      <c r="G39" s="82"/>
      <c r="H39" s="82"/>
      <c r="I39" s="82"/>
      <c r="J39" s="82"/>
      <c r="K39" s="82"/>
    </row>
    <row r="40" spans="1:12" x14ac:dyDescent="0.2">
      <c r="A40" s="14" t="s">
        <v>16</v>
      </c>
      <c r="B40" s="11" t="s">
        <v>1414</v>
      </c>
      <c r="C40" s="11" t="s">
        <v>1415</v>
      </c>
      <c r="D40" s="11" t="s">
        <v>1416</v>
      </c>
      <c r="E40" s="11" t="str">
        <f>"0,5538"</f>
        <v>0,5538</v>
      </c>
      <c r="F40" s="11" t="s">
        <v>20</v>
      </c>
      <c r="G40" s="11" t="s">
        <v>69</v>
      </c>
      <c r="H40" s="14" t="s">
        <v>88</v>
      </c>
      <c r="I40" s="59">
        <v>26</v>
      </c>
      <c r="J40" s="14" t="str">
        <f>"3055,0"</f>
        <v>3055,0</v>
      </c>
      <c r="K40" s="14" t="str">
        <f>"1692,0117"</f>
        <v>1692,0117</v>
      </c>
      <c r="L40" s="11" t="s">
        <v>59</v>
      </c>
    </row>
    <row r="41" spans="1:12" x14ac:dyDescent="0.2">
      <c r="A41" s="17" t="s">
        <v>60</v>
      </c>
      <c r="B41" s="15" t="s">
        <v>1427</v>
      </c>
      <c r="C41" s="15" t="s">
        <v>1428</v>
      </c>
      <c r="D41" s="15" t="s">
        <v>1429</v>
      </c>
      <c r="E41" s="15" t="str">
        <f>"0,5507"</f>
        <v>0,5507</v>
      </c>
      <c r="F41" s="15" t="s">
        <v>20</v>
      </c>
      <c r="G41" s="15" t="s">
        <v>1430</v>
      </c>
      <c r="H41" s="17" t="s">
        <v>57</v>
      </c>
      <c r="I41" s="60">
        <v>25</v>
      </c>
      <c r="J41" s="17" t="str">
        <f>"3062,5"</f>
        <v>3062,5</v>
      </c>
      <c r="K41" s="17" t="str">
        <f>"1686,3656"</f>
        <v>1686,3656</v>
      </c>
      <c r="L41" s="15" t="s">
        <v>1431</v>
      </c>
    </row>
    <row r="42" spans="1:12" x14ac:dyDescent="0.2">
      <c r="A42" s="21" t="s">
        <v>65</v>
      </c>
      <c r="B42" s="19" t="s">
        <v>1421</v>
      </c>
      <c r="C42" s="19" t="s">
        <v>1422</v>
      </c>
      <c r="D42" s="19" t="s">
        <v>1423</v>
      </c>
      <c r="E42" s="19" t="str">
        <f>"0,5560"</f>
        <v>0,5560</v>
      </c>
      <c r="F42" s="19" t="s">
        <v>20</v>
      </c>
      <c r="G42" s="19" t="s">
        <v>615</v>
      </c>
      <c r="H42" s="21" t="s">
        <v>88</v>
      </c>
      <c r="I42" s="61">
        <v>23</v>
      </c>
      <c r="J42" s="21" t="str">
        <f>"2702,5"</f>
        <v>2702,5</v>
      </c>
      <c r="K42" s="21" t="str">
        <f>"1502,5900"</f>
        <v>1502,5900</v>
      </c>
      <c r="L42" s="19" t="s">
        <v>1424</v>
      </c>
    </row>
    <row r="43" spans="1:12" x14ac:dyDescent="0.2">
      <c r="B43" s="5" t="s">
        <v>38</v>
      </c>
    </row>
    <row r="44" spans="1:12" ht="15" x14ac:dyDescent="0.2">
      <c r="B44" s="5" t="s">
        <v>38</v>
      </c>
      <c r="F44" s="23"/>
    </row>
    <row r="45" spans="1:12" x14ac:dyDescent="0.2">
      <c r="B45" s="5" t="s">
        <v>38</v>
      </c>
    </row>
    <row r="46" spans="1:12" ht="18" x14ac:dyDescent="0.2">
      <c r="B46" s="24" t="s">
        <v>340</v>
      </c>
      <c r="C46" s="24"/>
      <c r="G46" s="3"/>
    </row>
    <row r="47" spans="1:12" ht="15" x14ac:dyDescent="0.2">
      <c r="B47" s="73" t="s">
        <v>341</v>
      </c>
      <c r="C47" s="73"/>
      <c r="G47" s="3"/>
    </row>
    <row r="48" spans="1:12" ht="14.25" x14ac:dyDescent="0.2">
      <c r="B48" s="25"/>
      <c r="C48" s="25" t="s">
        <v>358</v>
      </c>
      <c r="G48" s="3"/>
    </row>
    <row r="49" spans="2:7" ht="15" x14ac:dyDescent="0.2">
      <c r="B49" s="4" t="s">
        <v>343</v>
      </c>
      <c r="C49" s="4" t="s">
        <v>344</v>
      </c>
      <c r="D49" s="4" t="s">
        <v>345</v>
      </c>
      <c r="E49" s="4" t="s">
        <v>1620</v>
      </c>
      <c r="F49" s="4" t="s">
        <v>1531</v>
      </c>
      <c r="G49" s="3"/>
    </row>
    <row r="50" spans="2:7" x14ac:dyDescent="0.2">
      <c r="B50" s="5" t="s">
        <v>1681</v>
      </c>
      <c r="C50" s="5" t="s">
        <v>358</v>
      </c>
      <c r="D50" s="6" t="s">
        <v>359</v>
      </c>
      <c r="E50" s="6" t="s">
        <v>1693</v>
      </c>
      <c r="F50" s="6" t="s">
        <v>1694</v>
      </c>
      <c r="G50" s="3"/>
    </row>
    <row r="51" spans="2:7" x14ac:dyDescent="0.2">
      <c r="B51" s="5" t="s">
        <v>1661</v>
      </c>
      <c r="C51" s="5" t="s">
        <v>358</v>
      </c>
      <c r="D51" s="6" t="s">
        <v>355</v>
      </c>
      <c r="E51" s="6" t="s">
        <v>1695</v>
      </c>
      <c r="F51" s="6" t="s">
        <v>1696</v>
      </c>
      <c r="G51" s="3"/>
    </row>
    <row r="52" spans="2:7" x14ac:dyDescent="0.2">
      <c r="B52" s="5" t="s">
        <v>1674</v>
      </c>
      <c r="C52" s="5" t="s">
        <v>358</v>
      </c>
      <c r="D52" s="6" t="s">
        <v>352</v>
      </c>
      <c r="E52" s="6" t="s">
        <v>1697</v>
      </c>
      <c r="F52" s="6" t="s">
        <v>1698</v>
      </c>
      <c r="G52" s="3"/>
    </row>
  </sheetData>
  <mergeCells count="20">
    <mergeCell ref="A14:K14"/>
    <mergeCell ref="A22:K22"/>
    <mergeCell ref="A27:K27"/>
    <mergeCell ref="A34:K34"/>
    <mergeCell ref="A39:K39"/>
    <mergeCell ref="A8:K8"/>
    <mergeCell ref="A11:K11"/>
    <mergeCell ref="A1:L2"/>
    <mergeCell ref="A3:A4"/>
    <mergeCell ref="C3:C4"/>
    <mergeCell ref="D3:D4"/>
    <mergeCell ref="E3:E4"/>
    <mergeCell ref="F3:F4"/>
    <mergeCell ref="G3:G4"/>
    <mergeCell ref="H3:I3"/>
    <mergeCell ref="B3:B4"/>
    <mergeCell ref="J3:J4"/>
    <mergeCell ref="K3:K4"/>
    <mergeCell ref="L3:L4"/>
    <mergeCell ref="A5:K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L10"/>
  <sheetViews>
    <sheetView workbookViewId="0">
      <selection sqref="A1:L2"/>
    </sheetView>
  </sheetViews>
  <sheetFormatPr defaultColWidth="9.140625" defaultRowHeight="12.75" x14ac:dyDescent="0.2"/>
  <cols>
    <col min="1" max="1" width="7.42578125" style="6" bestFit="1" customWidth="1"/>
    <col min="2" max="2" width="18.85546875" style="5" bestFit="1" customWidth="1"/>
    <col min="3" max="3" width="27.710937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19.140625" style="5" bestFit="1" customWidth="1"/>
    <col min="8" max="8" width="10.28515625" style="6" customWidth="1"/>
    <col min="9" max="9" width="13.28515625" style="27" customWidth="1"/>
    <col min="10" max="10" width="8.85546875" style="6" bestFit="1" customWidth="1"/>
    <col min="11" max="11" width="9.42578125" style="6" bestFit="1" customWidth="1"/>
    <col min="12" max="12" width="17" style="5" bestFit="1" customWidth="1"/>
    <col min="13" max="16384" width="9.140625" style="3"/>
  </cols>
  <sheetData>
    <row r="1" spans="1:12" s="2" customFormat="1" ht="29.1" customHeight="1" x14ac:dyDescent="0.2">
      <c r="A1" s="83" t="s">
        <v>1699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1475</v>
      </c>
      <c r="F3" s="94" t="s">
        <v>6</v>
      </c>
      <c r="G3" s="94" t="s">
        <v>7</v>
      </c>
      <c r="H3" s="94" t="s">
        <v>1619</v>
      </c>
      <c r="I3" s="94"/>
      <c r="J3" s="94" t="s">
        <v>1620</v>
      </c>
      <c r="K3" s="94" t="s">
        <v>12</v>
      </c>
      <c r="L3" s="77" t="s">
        <v>13</v>
      </c>
    </row>
    <row r="4" spans="1:12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 t="s">
        <v>1621</v>
      </c>
      <c r="I4" s="26" t="s">
        <v>1622</v>
      </c>
      <c r="J4" s="93"/>
      <c r="K4" s="93"/>
      <c r="L4" s="78"/>
    </row>
    <row r="5" spans="1:12" ht="15" x14ac:dyDescent="0.2">
      <c r="A5" s="79" t="s">
        <v>192</v>
      </c>
      <c r="B5" s="79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0" t="s">
        <v>16</v>
      </c>
      <c r="B6" s="7" t="s">
        <v>911</v>
      </c>
      <c r="C6" s="7" t="s">
        <v>912</v>
      </c>
      <c r="D6" s="7" t="s">
        <v>828</v>
      </c>
      <c r="E6" s="7" t="str">
        <f>"0,7865"</f>
        <v>0,7865</v>
      </c>
      <c r="F6" s="7" t="s">
        <v>20</v>
      </c>
      <c r="G6" s="7" t="s">
        <v>69</v>
      </c>
      <c r="H6" s="10" t="s">
        <v>25</v>
      </c>
      <c r="I6" s="58">
        <v>27</v>
      </c>
      <c r="J6" s="10" t="str">
        <f>"1147,5"</f>
        <v>1147,5</v>
      </c>
      <c r="K6" s="10" t="str">
        <f>"902,5661"</f>
        <v>902,5661</v>
      </c>
      <c r="L6" s="7" t="s">
        <v>913</v>
      </c>
    </row>
    <row r="7" spans="1:12" x14ac:dyDescent="0.2">
      <c r="B7" s="5" t="s">
        <v>38</v>
      </c>
    </row>
    <row r="8" spans="1:12" ht="15" x14ac:dyDescent="0.2">
      <c r="A8" s="81" t="s">
        <v>48</v>
      </c>
      <c r="B8" s="81"/>
      <c r="C8" s="82"/>
      <c r="D8" s="82"/>
      <c r="E8" s="82"/>
      <c r="F8" s="82"/>
      <c r="G8" s="82"/>
      <c r="H8" s="82"/>
      <c r="I8" s="82"/>
      <c r="J8" s="82"/>
      <c r="K8" s="82"/>
    </row>
    <row r="9" spans="1:12" x14ac:dyDescent="0.2">
      <c r="A9" s="10" t="s">
        <v>16</v>
      </c>
      <c r="B9" s="7" t="s">
        <v>1700</v>
      </c>
      <c r="C9" s="7" t="s">
        <v>1701</v>
      </c>
      <c r="D9" s="7" t="s">
        <v>68</v>
      </c>
      <c r="E9" s="7" t="str">
        <f>"0,8538"</f>
        <v>0,8538</v>
      </c>
      <c r="F9" s="7" t="s">
        <v>20</v>
      </c>
      <c r="G9" s="7" t="s">
        <v>69</v>
      </c>
      <c r="H9" s="10" t="s">
        <v>372</v>
      </c>
      <c r="I9" s="58">
        <v>88</v>
      </c>
      <c r="J9" s="10" t="str">
        <f>"2640,0"</f>
        <v>2640,0</v>
      </c>
      <c r="K9" s="10" t="str">
        <f>"2254,0320"</f>
        <v>2254,0320</v>
      </c>
      <c r="L9" s="7" t="s">
        <v>1702</v>
      </c>
    </row>
    <row r="10" spans="1:12" x14ac:dyDescent="0.2">
      <c r="B10" s="5" t="s">
        <v>38</v>
      </c>
    </row>
  </sheetData>
  <mergeCells count="14">
    <mergeCell ref="A5:K5"/>
    <mergeCell ref="A8:K8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L10"/>
  <sheetViews>
    <sheetView workbookViewId="0">
      <selection sqref="A1:L2"/>
    </sheetView>
  </sheetViews>
  <sheetFormatPr defaultColWidth="9.140625" defaultRowHeight="12.75" x14ac:dyDescent="0.2"/>
  <cols>
    <col min="1" max="1" width="7.42578125" style="6" bestFit="1" customWidth="1"/>
    <col min="2" max="2" width="18.4257812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5.42578125" style="5" customWidth="1"/>
    <col min="8" max="8" width="10.85546875" style="6" customWidth="1"/>
    <col min="9" max="9" width="13.140625" style="27" customWidth="1"/>
    <col min="10" max="10" width="8.85546875" style="6" bestFit="1" customWidth="1"/>
    <col min="11" max="11" width="9.42578125" style="6" bestFit="1" customWidth="1"/>
    <col min="12" max="12" width="18.140625" style="5" bestFit="1" customWidth="1"/>
    <col min="13" max="16384" width="9.140625" style="3"/>
  </cols>
  <sheetData>
    <row r="1" spans="1:12" s="2" customFormat="1" ht="29.1" customHeight="1" x14ac:dyDescent="0.2">
      <c r="A1" s="83" t="s">
        <v>1703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1475</v>
      </c>
      <c r="F3" s="94" t="s">
        <v>6</v>
      </c>
      <c r="G3" s="94" t="s">
        <v>7</v>
      </c>
      <c r="H3" s="94" t="s">
        <v>1619</v>
      </c>
      <c r="I3" s="94"/>
      <c r="J3" s="94" t="s">
        <v>1620</v>
      </c>
      <c r="K3" s="94" t="s">
        <v>12</v>
      </c>
      <c r="L3" s="77" t="s">
        <v>13</v>
      </c>
    </row>
    <row r="4" spans="1:12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 t="s">
        <v>1621</v>
      </c>
      <c r="I4" s="26" t="s">
        <v>1622</v>
      </c>
      <c r="J4" s="93"/>
      <c r="K4" s="93"/>
      <c r="L4" s="78"/>
    </row>
    <row r="5" spans="1:12" ht="15" x14ac:dyDescent="0.2">
      <c r="A5" s="79" t="s">
        <v>48</v>
      </c>
      <c r="B5" s="79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0" t="s">
        <v>16</v>
      </c>
      <c r="B6" s="7" t="s">
        <v>1704</v>
      </c>
      <c r="C6" s="7" t="s">
        <v>1705</v>
      </c>
      <c r="D6" s="7" t="s">
        <v>1242</v>
      </c>
      <c r="E6" s="7" t="str">
        <f>"1,0093"</f>
        <v>1,0093</v>
      </c>
      <c r="F6" s="7" t="s">
        <v>20</v>
      </c>
      <c r="G6" s="7" t="s">
        <v>69</v>
      </c>
      <c r="H6" s="10" t="s">
        <v>372</v>
      </c>
      <c r="I6" s="58">
        <v>27</v>
      </c>
      <c r="J6" s="10" t="str">
        <f>"810,0"</f>
        <v>810,0</v>
      </c>
      <c r="K6" s="10" t="str">
        <f>"952,4259"</f>
        <v>952,4259</v>
      </c>
      <c r="L6" s="7" t="s">
        <v>1706</v>
      </c>
    </row>
    <row r="7" spans="1:12" x14ac:dyDescent="0.2">
      <c r="B7" s="5" t="s">
        <v>38</v>
      </c>
    </row>
    <row r="8" spans="1:12" ht="15" x14ac:dyDescent="0.2">
      <c r="A8" s="81" t="s">
        <v>131</v>
      </c>
      <c r="B8" s="81"/>
      <c r="C8" s="82"/>
      <c r="D8" s="82"/>
      <c r="E8" s="82"/>
      <c r="F8" s="82"/>
      <c r="G8" s="82"/>
      <c r="H8" s="82"/>
      <c r="I8" s="82"/>
      <c r="J8" s="82"/>
      <c r="K8" s="82"/>
    </row>
    <row r="9" spans="1:12" x14ac:dyDescent="0.2">
      <c r="A9" s="10" t="s">
        <v>16</v>
      </c>
      <c r="B9" s="7" t="s">
        <v>1249</v>
      </c>
      <c r="C9" s="7" t="s">
        <v>1250</v>
      </c>
      <c r="D9" s="7" t="s">
        <v>1251</v>
      </c>
      <c r="E9" s="7" t="str">
        <f>"0,8704"</f>
        <v>0,8704</v>
      </c>
      <c r="F9" s="7" t="s">
        <v>20</v>
      </c>
      <c r="G9" s="7" t="s">
        <v>69</v>
      </c>
      <c r="H9" s="10" t="s">
        <v>1707</v>
      </c>
      <c r="I9" s="58">
        <v>32</v>
      </c>
      <c r="J9" s="10" t="str">
        <f>"1200,0"</f>
        <v>1200,0</v>
      </c>
      <c r="K9" s="10" t="str">
        <f>"1348,4237"</f>
        <v>1348,4237</v>
      </c>
      <c r="L9" s="7" t="s">
        <v>1252</v>
      </c>
    </row>
    <row r="10" spans="1:12" x14ac:dyDescent="0.2">
      <c r="B10" s="5" t="s">
        <v>38</v>
      </c>
    </row>
  </sheetData>
  <mergeCells count="14">
    <mergeCell ref="A5:K5"/>
    <mergeCell ref="A8:K8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88"/>
  <sheetViews>
    <sheetView workbookViewId="0">
      <selection sqref="A1:V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5.85546875" style="5" customWidth="1"/>
    <col min="8" max="10" width="5.42578125" style="6" bestFit="1" customWidth="1"/>
    <col min="11" max="11" width="4.85546875" style="6" bestFit="1" customWidth="1"/>
    <col min="12" max="14" width="5.42578125" style="6" bestFit="1" customWidth="1"/>
    <col min="15" max="15" width="4.85546875" style="6" bestFit="1" customWidth="1"/>
    <col min="16" max="18" width="5.42578125" style="6" bestFit="1" customWidth="1"/>
    <col min="19" max="19" width="4.85546875" style="6" bestFit="1" customWidth="1"/>
    <col min="20" max="20" width="7.85546875" style="6" bestFit="1" customWidth="1"/>
    <col min="21" max="21" width="8.42578125" style="6" bestFit="1" customWidth="1"/>
    <col min="22" max="22" width="26.42578125" style="5" customWidth="1"/>
    <col min="23" max="16384" width="9.140625" style="3"/>
  </cols>
  <sheetData>
    <row r="1" spans="1:22" s="2" customFormat="1" ht="29.1" customHeight="1" x14ac:dyDescent="0.2">
      <c r="A1" s="83" t="s">
        <v>366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</row>
    <row r="2" spans="1:2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/>
      <c r="J3" s="94"/>
      <c r="K3" s="94"/>
      <c r="L3" s="94" t="s">
        <v>9</v>
      </c>
      <c r="M3" s="94"/>
      <c r="N3" s="94"/>
      <c r="O3" s="94"/>
      <c r="P3" s="94" t="s">
        <v>10</v>
      </c>
      <c r="Q3" s="94"/>
      <c r="R3" s="94"/>
      <c r="S3" s="94"/>
      <c r="T3" s="94" t="s">
        <v>11</v>
      </c>
      <c r="U3" s="94" t="s">
        <v>12</v>
      </c>
      <c r="V3" s="77" t="s">
        <v>13</v>
      </c>
    </row>
    <row r="4" spans="1:22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74">
        <v>1</v>
      </c>
      <c r="M4" s="74">
        <v>2</v>
      </c>
      <c r="N4" s="74">
        <v>3</v>
      </c>
      <c r="O4" s="74" t="s">
        <v>14</v>
      </c>
      <c r="P4" s="74">
        <v>1</v>
      </c>
      <c r="Q4" s="74">
        <v>2</v>
      </c>
      <c r="R4" s="74">
        <v>3</v>
      </c>
      <c r="S4" s="74" t="s">
        <v>14</v>
      </c>
      <c r="T4" s="93"/>
      <c r="U4" s="93"/>
      <c r="V4" s="78"/>
    </row>
    <row r="5" spans="1:22" ht="15" x14ac:dyDescent="0.2">
      <c r="A5" s="79" t="s">
        <v>15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2" x14ac:dyDescent="0.2">
      <c r="A6" s="10" t="s">
        <v>16</v>
      </c>
      <c r="B6" s="7" t="s">
        <v>367</v>
      </c>
      <c r="C6" s="7" t="s">
        <v>368</v>
      </c>
      <c r="D6" s="7" t="s">
        <v>369</v>
      </c>
      <c r="E6" s="7" t="str">
        <f>"1,3678"</f>
        <v>1,3678</v>
      </c>
      <c r="F6" s="7" t="s">
        <v>20</v>
      </c>
      <c r="G6" s="7" t="s">
        <v>69</v>
      </c>
      <c r="H6" s="8" t="s">
        <v>44</v>
      </c>
      <c r="I6" s="8" t="s">
        <v>45</v>
      </c>
      <c r="J6" s="8" t="s">
        <v>54</v>
      </c>
      <c r="K6" s="10"/>
      <c r="L6" s="8" t="s">
        <v>370</v>
      </c>
      <c r="M6" s="8" t="s">
        <v>371</v>
      </c>
      <c r="N6" s="9" t="s">
        <v>372</v>
      </c>
      <c r="O6" s="10"/>
      <c r="P6" s="8" t="s">
        <v>34</v>
      </c>
      <c r="Q6" s="8" t="s">
        <v>373</v>
      </c>
      <c r="R6" s="8" t="s">
        <v>24</v>
      </c>
      <c r="S6" s="10"/>
      <c r="T6" s="10" t="str">
        <f>"170,0"</f>
        <v>170,0</v>
      </c>
      <c r="U6" s="10" t="str">
        <f>"232,5260"</f>
        <v>232,5260</v>
      </c>
      <c r="V6" s="7" t="s">
        <v>374</v>
      </c>
    </row>
    <row r="7" spans="1:22" x14ac:dyDescent="0.2">
      <c r="B7" s="5" t="s">
        <v>38</v>
      </c>
    </row>
    <row r="8" spans="1:22" ht="15" x14ac:dyDescent="0.2">
      <c r="A8" s="81" t="s">
        <v>48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2" x14ac:dyDescent="0.2">
      <c r="A9" s="10" t="s">
        <v>16</v>
      </c>
      <c r="B9" s="7" t="s">
        <v>375</v>
      </c>
      <c r="C9" s="7" t="s">
        <v>376</v>
      </c>
      <c r="D9" s="7" t="s">
        <v>377</v>
      </c>
      <c r="E9" s="7" t="str">
        <f>"1,1178"</f>
        <v>1,1178</v>
      </c>
      <c r="F9" s="7" t="s">
        <v>20</v>
      </c>
      <c r="G9" s="7" t="s">
        <v>69</v>
      </c>
      <c r="H9" s="8" t="s">
        <v>378</v>
      </c>
      <c r="I9" s="8" t="s">
        <v>88</v>
      </c>
      <c r="J9" s="8" t="s">
        <v>116</v>
      </c>
      <c r="K9" s="10"/>
      <c r="L9" s="8" t="s">
        <v>22</v>
      </c>
      <c r="M9" s="9" t="s">
        <v>379</v>
      </c>
      <c r="N9" s="8" t="s">
        <v>379</v>
      </c>
      <c r="O9" s="10"/>
      <c r="P9" s="8" t="s">
        <v>117</v>
      </c>
      <c r="Q9" s="9" t="s">
        <v>125</v>
      </c>
      <c r="R9" s="9" t="s">
        <v>125</v>
      </c>
      <c r="S9" s="10"/>
      <c r="T9" s="10" t="str">
        <f>"325,0"</f>
        <v>325,0</v>
      </c>
      <c r="U9" s="10" t="str">
        <f>"363,2850"</f>
        <v>363,2850</v>
      </c>
      <c r="V9" s="7" t="s">
        <v>374</v>
      </c>
    </row>
    <row r="10" spans="1:22" x14ac:dyDescent="0.2">
      <c r="B10" s="5" t="s">
        <v>38</v>
      </c>
    </row>
    <row r="11" spans="1:22" ht="15" x14ac:dyDescent="0.2">
      <c r="A11" s="81" t="s">
        <v>73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2" x14ac:dyDescent="0.2">
      <c r="A12" s="10" t="s">
        <v>16</v>
      </c>
      <c r="B12" s="7" t="s">
        <v>380</v>
      </c>
      <c r="C12" s="7" t="s">
        <v>381</v>
      </c>
      <c r="D12" s="7" t="s">
        <v>382</v>
      </c>
      <c r="E12" s="7" t="str">
        <f>"1,0539"</f>
        <v>1,0539</v>
      </c>
      <c r="F12" s="7" t="s">
        <v>20</v>
      </c>
      <c r="G12" s="7" t="s">
        <v>69</v>
      </c>
      <c r="H12" s="8" t="s">
        <v>53</v>
      </c>
      <c r="I12" s="8" t="s">
        <v>46</v>
      </c>
      <c r="J12" s="9" t="s">
        <v>37</v>
      </c>
      <c r="K12" s="10"/>
      <c r="L12" s="8" t="s">
        <v>27</v>
      </c>
      <c r="M12" s="8" t="s">
        <v>70</v>
      </c>
      <c r="N12" s="8" t="s">
        <v>45</v>
      </c>
      <c r="O12" s="10"/>
      <c r="P12" s="8" t="s">
        <v>116</v>
      </c>
      <c r="Q12" s="9" t="s">
        <v>83</v>
      </c>
      <c r="R12" s="8" t="s">
        <v>83</v>
      </c>
      <c r="S12" s="10"/>
      <c r="T12" s="10" t="str">
        <f>"287,5"</f>
        <v>287,5</v>
      </c>
      <c r="U12" s="10" t="str">
        <f>"302,9963"</f>
        <v>302,9963</v>
      </c>
      <c r="V12" s="7" t="s">
        <v>374</v>
      </c>
    </row>
    <row r="13" spans="1:22" x14ac:dyDescent="0.2">
      <c r="B13" s="5" t="s">
        <v>38</v>
      </c>
    </row>
    <row r="14" spans="1:22" ht="15" x14ac:dyDescent="0.2">
      <c r="A14" s="81" t="s">
        <v>131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2" x14ac:dyDescent="0.2">
      <c r="A15" s="14" t="s">
        <v>16</v>
      </c>
      <c r="B15" s="11" t="s">
        <v>383</v>
      </c>
      <c r="C15" s="11" t="s">
        <v>384</v>
      </c>
      <c r="D15" s="11" t="s">
        <v>150</v>
      </c>
      <c r="E15" s="11" t="str">
        <f>"0,9506"</f>
        <v>0,9506</v>
      </c>
      <c r="F15" s="11" t="s">
        <v>20</v>
      </c>
      <c r="G15" s="11" t="s">
        <v>69</v>
      </c>
      <c r="H15" s="13" t="s">
        <v>237</v>
      </c>
      <c r="I15" s="13" t="s">
        <v>312</v>
      </c>
      <c r="J15" s="13" t="s">
        <v>109</v>
      </c>
      <c r="K15" s="14"/>
      <c r="L15" s="13" t="s">
        <v>385</v>
      </c>
      <c r="M15" s="13" t="s">
        <v>378</v>
      </c>
      <c r="N15" s="12" t="s">
        <v>386</v>
      </c>
      <c r="O15" s="14"/>
      <c r="P15" s="13" t="s">
        <v>99</v>
      </c>
      <c r="Q15" s="13" t="s">
        <v>166</v>
      </c>
      <c r="R15" s="12" t="s">
        <v>160</v>
      </c>
      <c r="S15" s="14"/>
      <c r="T15" s="14" t="str">
        <f>"447,5"</f>
        <v>447,5</v>
      </c>
      <c r="U15" s="14" t="str">
        <f>"425,3935"</f>
        <v>425,3935</v>
      </c>
      <c r="V15" s="11" t="s">
        <v>374</v>
      </c>
    </row>
    <row r="16" spans="1:22" x14ac:dyDescent="0.2">
      <c r="A16" s="21" t="s">
        <v>60</v>
      </c>
      <c r="B16" s="19" t="s">
        <v>387</v>
      </c>
      <c r="C16" s="19" t="s">
        <v>388</v>
      </c>
      <c r="D16" s="19" t="s">
        <v>181</v>
      </c>
      <c r="E16" s="19" t="str">
        <f>"1,0079"</f>
        <v>1,0079</v>
      </c>
      <c r="F16" s="19" t="s">
        <v>20</v>
      </c>
      <c r="G16" s="19" t="s">
        <v>69</v>
      </c>
      <c r="H16" s="20" t="s">
        <v>35</v>
      </c>
      <c r="I16" s="20" t="s">
        <v>28</v>
      </c>
      <c r="J16" s="22" t="s">
        <v>64</v>
      </c>
      <c r="K16" s="21"/>
      <c r="L16" s="20" t="s">
        <v>26</v>
      </c>
      <c r="M16" s="20" t="s">
        <v>44</v>
      </c>
      <c r="N16" s="20" t="s">
        <v>70</v>
      </c>
      <c r="O16" s="21"/>
      <c r="P16" s="20" t="s">
        <v>53</v>
      </c>
      <c r="Q16" s="20" t="s">
        <v>30</v>
      </c>
      <c r="R16" s="20" t="s">
        <v>37</v>
      </c>
      <c r="S16" s="21"/>
      <c r="T16" s="21" t="str">
        <f>"245,0"</f>
        <v>245,0</v>
      </c>
      <c r="U16" s="21" t="str">
        <f>"246,9355"</f>
        <v>246,9355</v>
      </c>
      <c r="V16" s="19" t="s">
        <v>374</v>
      </c>
    </row>
    <row r="17" spans="1:22" x14ac:dyDescent="0.2">
      <c r="B17" s="5" t="s">
        <v>38</v>
      </c>
    </row>
    <row r="18" spans="1:22" ht="15" x14ac:dyDescent="0.2">
      <c r="A18" s="81" t="s">
        <v>192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2" x14ac:dyDescent="0.2">
      <c r="A19" s="10" t="s">
        <v>16</v>
      </c>
      <c r="B19" s="7" t="s">
        <v>389</v>
      </c>
      <c r="C19" s="7" t="s">
        <v>390</v>
      </c>
      <c r="D19" s="7" t="s">
        <v>391</v>
      </c>
      <c r="E19" s="7" t="str">
        <f>"0,9011"</f>
        <v>0,9011</v>
      </c>
      <c r="F19" s="7" t="s">
        <v>20</v>
      </c>
      <c r="G19" s="7" t="s">
        <v>69</v>
      </c>
      <c r="H19" s="8" t="s">
        <v>392</v>
      </c>
      <c r="I19" s="9" t="s">
        <v>223</v>
      </c>
      <c r="J19" s="8" t="s">
        <v>223</v>
      </c>
      <c r="K19" s="10"/>
      <c r="L19" s="8" t="s">
        <v>90</v>
      </c>
      <c r="M19" s="8" t="s">
        <v>58</v>
      </c>
      <c r="N19" s="8" t="s">
        <v>83</v>
      </c>
      <c r="O19" s="10"/>
      <c r="P19" s="8" t="s">
        <v>100</v>
      </c>
      <c r="Q19" s="8" t="s">
        <v>223</v>
      </c>
      <c r="R19" s="8" t="s">
        <v>161</v>
      </c>
      <c r="S19" s="10"/>
      <c r="T19" s="10" t="str">
        <f>"572,5"</f>
        <v>572,5</v>
      </c>
      <c r="U19" s="10" t="str">
        <f>"515,8797"</f>
        <v>515,8797</v>
      </c>
      <c r="V19" s="7" t="s">
        <v>393</v>
      </c>
    </row>
    <row r="20" spans="1:22" x14ac:dyDescent="0.2">
      <c r="B20" s="5" t="s">
        <v>38</v>
      </c>
    </row>
    <row r="21" spans="1:22" ht="15" x14ac:dyDescent="0.2">
      <c r="A21" s="81" t="s">
        <v>394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2" x14ac:dyDescent="0.2">
      <c r="A22" s="10" t="s">
        <v>16</v>
      </c>
      <c r="B22" s="7" t="s">
        <v>395</v>
      </c>
      <c r="C22" s="7" t="s">
        <v>396</v>
      </c>
      <c r="D22" s="7" t="s">
        <v>397</v>
      </c>
      <c r="E22" s="7" t="str">
        <f>"0,8200"</f>
        <v>0,8200</v>
      </c>
      <c r="F22" s="7" t="s">
        <v>20</v>
      </c>
      <c r="G22" s="7" t="s">
        <v>69</v>
      </c>
      <c r="H22" s="9" t="s">
        <v>28</v>
      </c>
      <c r="I22" s="8" t="s">
        <v>28</v>
      </c>
      <c r="J22" s="8" t="s">
        <v>46</v>
      </c>
      <c r="K22" s="10"/>
      <c r="L22" s="8" t="s">
        <v>26</v>
      </c>
      <c r="M22" s="8" t="s">
        <v>44</v>
      </c>
      <c r="N22" s="9" t="s">
        <v>70</v>
      </c>
      <c r="O22" s="10"/>
      <c r="P22" s="8" t="s">
        <v>28</v>
      </c>
      <c r="Q22" s="9" t="s">
        <v>46</v>
      </c>
      <c r="R22" s="8" t="s">
        <v>46</v>
      </c>
      <c r="S22" s="10"/>
      <c r="T22" s="10" t="str">
        <f>"245,0"</f>
        <v>245,0</v>
      </c>
      <c r="U22" s="10" t="str">
        <f>"200,9000"</f>
        <v>200,9000</v>
      </c>
      <c r="V22" s="7" t="s">
        <v>374</v>
      </c>
    </row>
    <row r="23" spans="1:22" x14ac:dyDescent="0.2">
      <c r="B23" s="5" t="s">
        <v>38</v>
      </c>
    </row>
    <row r="24" spans="1:22" ht="15" x14ac:dyDescent="0.2">
      <c r="A24" s="81" t="s">
        <v>73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2" x14ac:dyDescent="0.2">
      <c r="A25" s="14" t="s">
        <v>16</v>
      </c>
      <c r="B25" s="11" t="s">
        <v>398</v>
      </c>
      <c r="C25" s="11" t="s">
        <v>399</v>
      </c>
      <c r="D25" s="11" t="s">
        <v>400</v>
      </c>
      <c r="E25" s="11" t="str">
        <f>"0,7852"</f>
        <v>0,7852</v>
      </c>
      <c r="F25" s="11" t="s">
        <v>20</v>
      </c>
      <c r="G25" s="11" t="s">
        <v>401</v>
      </c>
      <c r="H25" s="13" t="s">
        <v>58</v>
      </c>
      <c r="I25" s="13" t="s">
        <v>118</v>
      </c>
      <c r="J25" s="13" t="s">
        <v>125</v>
      </c>
      <c r="K25" s="14"/>
      <c r="L25" s="13" t="s">
        <v>24</v>
      </c>
      <c r="M25" s="13" t="s">
        <v>53</v>
      </c>
      <c r="N25" s="12" t="s">
        <v>29</v>
      </c>
      <c r="O25" s="14"/>
      <c r="P25" s="13" t="s">
        <v>90</v>
      </c>
      <c r="Q25" s="13" t="s">
        <v>83</v>
      </c>
      <c r="R25" s="13" t="s">
        <v>118</v>
      </c>
      <c r="S25" s="14"/>
      <c r="T25" s="14" t="str">
        <f>"375,0"</f>
        <v>375,0</v>
      </c>
      <c r="U25" s="14" t="str">
        <f>"294,4500"</f>
        <v>294,4500</v>
      </c>
      <c r="V25" s="11" t="s">
        <v>59</v>
      </c>
    </row>
    <row r="26" spans="1:22" x14ac:dyDescent="0.2">
      <c r="A26" s="21" t="s">
        <v>60</v>
      </c>
      <c r="B26" s="19" t="s">
        <v>402</v>
      </c>
      <c r="C26" s="19" t="s">
        <v>403</v>
      </c>
      <c r="D26" s="19" t="s">
        <v>404</v>
      </c>
      <c r="E26" s="19" t="str">
        <f>"0,7804"</f>
        <v>0,7804</v>
      </c>
      <c r="F26" s="19" t="s">
        <v>20</v>
      </c>
      <c r="G26" s="19" t="s">
        <v>69</v>
      </c>
      <c r="H26" s="22" t="s">
        <v>37</v>
      </c>
      <c r="I26" s="20" t="s">
        <v>37</v>
      </c>
      <c r="J26" s="22" t="s">
        <v>82</v>
      </c>
      <c r="K26" s="21"/>
      <c r="L26" s="20" t="s">
        <v>35</v>
      </c>
      <c r="M26" s="20" t="s">
        <v>24</v>
      </c>
      <c r="N26" s="22" t="s">
        <v>28</v>
      </c>
      <c r="O26" s="21"/>
      <c r="P26" s="20" t="s">
        <v>98</v>
      </c>
      <c r="Q26" s="22" t="s">
        <v>110</v>
      </c>
      <c r="R26" s="20" t="s">
        <v>110</v>
      </c>
      <c r="S26" s="21"/>
      <c r="T26" s="21" t="str">
        <f>"355,0"</f>
        <v>355,0</v>
      </c>
      <c r="U26" s="21" t="str">
        <f>"277,0420"</f>
        <v>277,0420</v>
      </c>
      <c r="V26" s="19" t="s">
        <v>59</v>
      </c>
    </row>
    <row r="27" spans="1:22" x14ac:dyDescent="0.2">
      <c r="B27" s="5" t="s">
        <v>38</v>
      </c>
    </row>
    <row r="28" spans="1:22" ht="15" x14ac:dyDescent="0.2">
      <c r="A28" s="81" t="s">
        <v>131</v>
      </c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2" x14ac:dyDescent="0.2">
      <c r="A29" s="14" t="s">
        <v>16</v>
      </c>
      <c r="B29" s="11" t="s">
        <v>405</v>
      </c>
      <c r="C29" s="11" t="s">
        <v>406</v>
      </c>
      <c r="D29" s="11" t="s">
        <v>170</v>
      </c>
      <c r="E29" s="11" t="str">
        <f>"0,7132"</f>
        <v>0,7132</v>
      </c>
      <c r="F29" s="11" t="s">
        <v>96</v>
      </c>
      <c r="G29" s="11" t="s">
        <v>97</v>
      </c>
      <c r="H29" s="13" t="s">
        <v>143</v>
      </c>
      <c r="I29" s="13" t="s">
        <v>173</v>
      </c>
      <c r="J29" s="12" t="s">
        <v>153</v>
      </c>
      <c r="K29" s="14"/>
      <c r="L29" s="13" t="s">
        <v>98</v>
      </c>
      <c r="M29" s="13" t="s">
        <v>228</v>
      </c>
      <c r="N29" s="12" t="s">
        <v>137</v>
      </c>
      <c r="O29" s="14"/>
      <c r="P29" s="13" t="s">
        <v>174</v>
      </c>
      <c r="Q29" s="13" t="s">
        <v>251</v>
      </c>
      <c r="R29" s="12" t="s">
        <v>301</v>
      </c>
      <c r="S29" s="14"/>
      <c r="T29" s="14" t="str">
        <f>"650,0"</f>
        <v>650,0</v>
      </c>
      <c r="U29" s="14" t="str">
        <f>"463,5800"</f>
        <v>463,5800</v>
      </c>
      <c r="V29" s="11" t="s">
        <v>102</v>
      </c>
    </row>
    <row r="30" spans="1:22" x14ac:dyDescent="0.2">
      <c r="A30" s="21" t="s">
        <v>60</v>
      </c>
      <c r="B30" s="19" t="s">
        <v>407</v>
      </c>
      <c r="C30" s="19" t="s">
        <v>408</v>
      </c>
      <c r="D30" s="19" t="s">
        <v>141</v>
      </c>
      <c r="E30" s="19" t="str">
        <f>"0,7186"</f>
        <v>0,7186</v>
      </c>
      <c r="F30" s="19" t="s">
        <v>20</v>
      </c>
      <c r="G30" s="19" t="s">
        <v>69</v>
      </c>
      <c r="H30" s="20" t="s">
        <v>136</v>
      </c>
      <c r="I30" s="20" t="s">
        <v>266</v>
      </c>
      <c r="J30" s="20" t="s">
        <v>228</v>
      </c>
      <c r="K30" s="21"/>
      <c r="L30" s="20" t="s">
        <v>107</v>
      </c>
      <c r="M30" s="20" t="s">
        <v>90</v>
      </c>
      <c r="N30" s="20" t="s">
        <v>58</v>
      </c>
      <c r="O30" s="21"/>
      <c r="P30" s="20" t="s">
        <v>123</v>
      </c>
      <c r="Q30" s="20" t="s">
        <v>143</v>
      </c>
      <c r="R30" s="20" t="s">
        <v>223</v>
      </c>
      <c r="S30" s="21"/>
      <c r="T30" s="21" t="str">
        <f>"517,5"</f>
        <v>517,5</v>
      </c>
      <c r="U30" s="21" t="str">
        <f>"371,8755"</f>
        <v>371,8755</v>
      </c>
      <c r="V30" s="19" t="s">
        <v>409</v>
      </c>
    </row>
    <row r="31" spans="1:22" x14ac:dyDescent="0.2">
      <c r="B31" s="5" t="s">
        <v>38</v>
      </c>
    </row>
    <row r="32" spans="1:22" ht="15" x14ac:dyDescent="0.2">
      <c r="A32" s="81" t="s">
        <v>192</v>
      </c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2" x14ac:dyDescent="0.2">
      <c r="A33" s="14" t="s">
        <v>16</v>
      </c>
      <c r="B33" s="11" t="s">
        <v>410</v>
      </c>
      <c r="C33" s="11" t="s">
        <v>411</v>
      </c>
      <c r="D33" s="11" t="s">
        <v>226</v>
      </c>
      <c r="E33" s="11" t="str">
        <f>"0,6734"</f>
        <v>0,6734</v>
      </c>
      <c r="F33" s="11" t="s">
        <v>20</v>
      </c>
      <c r="G33" s="11" t="s">
        <v>412</v>
      </c>
      <c r="H33" s="13" t="s">
        <v>101</v>
      </c>
      <c r="I33" s="13" t="s">
        <v>153</v>
      </c>
      <c r="J33" s="13" t="s">
        <v>250</v>
      </c>
      <c r="K33" s="14"/>
      <c r="L33" s="13" t="s">
        <v>99</v>
      </c>
      <c r="M33" s="13" t="s">
        <v>123</v>
      </c>
      <c r="N33" s="14"/>
      <c r="O33" s="14"/>
      <c r="P33" s="13" t="s">
        <v>413</v>
      </c>
      <c r="Q33" s="13" t="s">
        <v>414</v>
      </c>
      <c r="R33" s="12" t="s">
        <v>415</v>
      </c>
      <c r="S33" s="14"/>
      <c r="T33" s="14" t="str">
        <f>"720,0"</f>
        <v>720,0</v>
      </c>
      <c r="U33" s="14" t="str">
        <f>"484,8480"</f>
        <v>484,8480</v>
      </c>
      <c r="V33" s="11" t="s">
        <v>416</v>
      </c>
    </row>
    <row r="34" spans="1:22" x14ac:dyDescent="0.2">
      <c r="A34" s="17" t="s">
        <v>60</v>
      </c>
      <c r="B34" s="15" t="s">
        <v>417</v>
      </c>
      <c r="C34" s="15" t="s">
        <v>418</v>
      </c>
      <c r="D34" s="15" t="s">
        <v>419</v>
      </c>
      <c r="E34" s="15" t="str">
        <f>"0,6759"</f>
        <v>0,6759</v>
      </c>
      <c r="F34" s="15" t="s">
        <v>20</v>
      </c>
      <c r="G34" s="15" t="s">
        <v>201</v>
      </c>
      <c r="H34" s="16" t="s">
        <v>124</v>
      </c>
      <c r="I34" s="16" t="s">
        <v>143</v>
      </c>
      <c r="J34" s="17"/>
      <c r="K34" s="17"/>
      <c r="L34" s="16" t="s">
        <v>83</v>
      </c>
      <c r="M34" s="16" t="s">
        <v>118</v>
      </c>
      <c r="N34" s="18" t="s">
        <v>125</v>
      </c>
      <c r="O34" s="17"/>
      <c r="P34" s="16" t="s">
        <v>250</v>
      </c>
      <c r="Q34" s="16" t="s">
        <v>175</v>
      </c>
      <c r="R34" s="16" t="s">
        <v>251</v>
      </c>
      <c r="S34" s="17"/>
      <c r="T34" s="17" t="str">
        <f>"600,0"</f>
        <v>600,0</v>
      </c>
      <c r="U34" s="17" t="str">
        <f>"405,5400"</f>
        <v>405,5400</v>
      </c>
      <c r="V34" s="15" t="s">
        <v>59</v>
      </c>
    </row>
    <row r="35" spans="1:22" x14ac:dyDescent="0.2">
      <c r="A35" s="17" t="s">
        <v>65</v>
      </c>
      <c r="B35" s="15" t="s">
        <v>420</v>
      </c>
      <c r="C35" s="15" t="s">
        <v>421</v>
      </c>
      <c r="D35" s="15" t="s">
        <v>391</v>
      </c>
      <c r="E35" s="15" t="str">
        <f>"0,6709"</f>
        <v>0,6709</v>
      </c>
      <c r="F35" s="15" t="s">
        <v>20</v>
      </c>
      <c r="G35" s="15" t="s">
        <v>422</v>
      </c>
      <c r="H35" s="16" t="s">
        <v>99</v>
      </c>
      <c r="I35" s="16" t="s">
        <v>123</v>
      </c>
      <c r="J35" s="16" t="s">
        <v>124</v>
      </c>
      <c r="K35" s="17"/>
      <c r="L35" s="16" t="s">
        <v>117</v>
      </c>
      <c r="M35" s="16" t="s">
        <v>237</v>
      </c>
      <c r="N35" s="18" t="s">
        <v>91</v>
      </c>
      <c r="O35" s="17"/>
      <c r="P35" s="16" t="s">
        <v>174</v>
      </c>
      <c r="Q35" s="16" t="s">
        <v>175</v>
      </c>
      <c r="R35" s="16" t="s">
        <v>252</v>
      </c>
      <c r="S35" s="17"/>
      <c r="T35" s="17" t="str">
        <f>"597,5"</f>
        <v>597,5</v>
      </c>
      <c r="U35" s="17" t="str">
        <f>"400,8627"</f>
        <v>400,8627</v>
      </c>
      <c r="V35" s="15" t="s">
        <v>423</v>
      </c>
    </row>
    <row r="36" spans="1:22" x14ac:dyDescent="0.2">
      <c r="A36" s="21" t="s">
        <v>182</v>
      </c>
      <c r="B36" s="19" t="s">
        <v>424</v>
      </c>
      <c r="C36" s="19" t="s">
        <v>425</v>
      </c>
      <c r="D36" s="19" t="s">
        <v>426</v>
      </c>
      <c r="E36" s="19" t="str">
        <f>"0,6827"</f>
        <v>0,6827</v>
      </c>
      <c r="F36" s="19" t="s">
        <v>20</v>
      </c>
      <c r="G36" s="19" t="s">
        <v>69</v>
      </c>
      <c r="H36" s="20" t="s">
        <v>144</v>
      </c>
      <c r="I36" s="22" t="s">
        <v>101</v>
      </c>
      <c r="J36" s="22" t="s">
        <v>101</v>
      </c>
      <c r="K36" s="21"/>
      <c r="L36" s="20" t="s">
        <v>118</v>
      </c>
      <c r="M36" s="20" t="s">
        <v>125</v>
      </c>
      <c r="N36" s="22" t="s">
        <v>312</v>
      </c>
      <c r="O36" s="21"/>
      <c r="P36" s="20" t="s">
        <v>153</v>
      </c>
      <c r="Q36" s="20" t="s">
        <v>250</v>
      </c>
      <c r="R36" s="22" t="s">
        <v>174</v>
      </c>
      <c r="S36" s="21"/>
      <c r="T36" s="21" t="str">
        <f>"595,0"</f>
        <v>595,0</v>
      </c>
      <c r="U36" s="21" t="str">
        <f>"406,2065"</f>
        <v>406,2065</v>
      </c>
      <c r="V36" s="19" t="s">
        <v>59</v>
      </c>
    </row>
    <row r="37" spans="1:22" x14ac:dyDescent="0.2">
      <c r="B37" s="5" t="s">
        <v>38</v>
      </c>
    </row>
    <row r="38" spans="1:22" ht="15" x14ac:dyDescent="0.2">
      <c r="A38" s="81" t="s">
        <v>246</v>
      </c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2" x14ac:dyDescent="0.2">
      <c r="A39" s="14" t="s">
        <v>16</v>
      </c>
      <c r="B39" s="11" t="s">
        <v>427</v>
      </c>
      <c r="C39" s="11" t="s">
        <v>428</v>
      </c>
      <c r="D39" s="11" t="s">
        <v>256</v>
      </c>
      <c r="E39" s="11" t="str">
        <f>"0,6421"</f>
        <v>0,6421</v>
      </c>
      <c r="F39" s="11" t="s">
        <v>20</v>
      </c>
      <c r="G39" s="11" t="s">
        <v>429</v>
      </c>
      <c r="H39" s="13" t="s">
        <v>174</v>
      </c>
      <c r="I39" s="13" t="s">
        <v>155</v>
      </c>
      <c r="J39" s="12" t="s">
        <v>413</v>
      </c>
      <c r="K39" s="14"/>
      <c r="L39" s="13" t="s">
        <v>83</v>
      </c>
      <c r="M39" s="13" t="s">
        <v>136</v>
      </c>
      <c r="N39" s="13" t="s">
        <v>98</v>
      </c>
      <c r="O39" s="14"/>
      <c r="P39" s="13" t="s">
        <v>174</v>
      </c>
      <c r="Q39" s="13" t="s">
        <v>155</v>
      </c>
      <c r="R39" s="13" t="s">
        <v>430</v>
      </c>
      <c r="S39" s="14"/>
      <c r="T39" s="14" t="str">
        <f>"702,5"</f>
        <v>702,5</v>
      </c>
      <c r="U39" s="14" t="str">
        <f>"451,0752"</f>
        <v>451,0752</v>
      </c>
      <c r="V39" s="11" t="s">
        <v>431</v>
      </c>
    </row>
    <row r="40" spans="1:22" x14ac:dyDescent="0.2">
      <c r="A40" s="17" t="s">
        <v>60</v>
      </c>
      <c r="B40" s="15" t="s">
        <v>432</v>
      </c>
      <c r="C40" s="15" t="s">
        <v>433</v>
      </c>
      <c r="D40" s="15" t="s">
        <v>434</v>
      </c>
      <c r="E40" s="15" t="str">
        <f>"0,6536"</f>
        <v>0,6536</v>
      </c>
      <c r="F40" s="15" t="s">
        <v>96</v>
      </c>
      <c r="G40" s="15" t="s">
        <v>435</v>
      </c>
      <c r="H40" s="16" t="s">
        <v>144</v>
      </c>
      <c r="I40" s="16" t="s">
        <v>153</v>
      </c>
      <c r="J40" s="16" t="s">
        <v>174</v>
      </c>
      <c r="K40" s="17"/>
      <c r="L40" s="16" t="s">
        <v>136</v>
      </c>
      <c r="M40" s="18" t="s">
        <v>266</v>
      </c>
      <c r="N40" s="17"/>
      <c r="O40" s="17"/>
      <c r="P40" s="16" t="s">
        <v>101</v>
      </c>
      <c r="Q40" s="16" t="s">
        <v>250</v>
      </c>
      <c r="R40" s="16" t="s">
        <v>154</v>
      </c>
      <c r="S40" s="17"/>
      <c r="T40" s="17" t="str">
        <f>"645,0"</f>
        <v>645,0</v>
      </c>
      <c r="U40" s="17" t="str">
        <f>"421,5720"</f>
        <v>421,5720</v>
      </c>
      <c r="V40" s="15" t="s">
        <v>102</v>
      </c>
    </row>
    <row r="41" spans="1:22" x14ac:dyDescent="0.2">
      <c r="A41" s="17" t="s">
        <v>16</v>
      </c>
      <c r="B41" s="15" t="s">
        <v>436</v>
      </c>
      <c r="C41" s="15" t="s">
        <v>437</v>
      </c>
      <c r="D41" s="15" t="s">
        <v>438</v>
      </c>
      <c r="E41" s="15" t="str">
        <f>"0,6391"</f>
        <v>0,6391</v>
      </c>
      <c r="F41" s="15" t="s">
        <v>171</v>
      </c>
      <c r="G41" s="15" t="s">
        <v>439</v>
      </c>
      <c r="H41" s="16" t="s">
        <v>153</v>
      </c>
      <c r="I41" s="16" t="s">
        <v>250</v>
      </c>
      <c r="J41" s="16" t="s">
        <v>154</v>
      </c>
      <c r="K41" s="17"/>
      <c r="L41" s="16" t="s">
        <v>137</v>
      </c>
      <c r="M41" s="16" t="s">
        <v>123</v>
      </c>
      <c r="N41" s="16" t="s">
        <v>166</v>
      </c>
      <c r="O41" s="17"/>
      <c r="P41" s="16" t="s">
        <v>413</v>
      </c>
      <c r="Q41" s="16" t="s">
        <v>440</v>
      </c>
      <c r="R41" s="18" t="s">
        <v>414</v>
      </c>
      <c r="S41" s="17"/>
      <c r="T41" s="17" t="str">
        <f>"730,0"</f>
        <v>730,0</v>
      </c>
      <c r="U41" s="17" t="str">
        <f>"466,5430"</f>
        <v>466,5430</v>
      </c>
      <c r="V41" s="15" t="s">
        <v>59</v>
      </c>
    </row>
    <row r="42" spans="1:22" x14ac:dyDescent="0.2">
      <c r="A42" s="17" t="s">
        <v>60</v>
      </c>
      <c r="B42" s="15" t="s">
        <v>427</v>
      </c>
      <c r="C42" s="15" t="s">
        <v>441</v>
      </c>
      <c r="D42" s="15" t="s">
        <v>256</v>
      </c>
      <c r="E42" s="15" t="str">
        <f>"0,6421"</f>
        <v>0,6421</v>
      </c>
      <c r="F42" s="15" t="s">
        <v>20</v>
      </c>
      <c r="G42" s="15" t="s">
        <v>429</v>
      </c>
      <c r="H42" s="16" t="s">
        <v>174</v>
      </c>
      <c r="I42" s="16" t="s">
        <v>155</v>
      </c>
      <c r="J42" s="18" t="s">
        <v>413</v>
      </c>
      <c r="K42" s="17"/>
      <c r="L42" s="16" t="s">
        <v>83</v>
      </c>
      <c r="M42" s="16" t="s">
        <v>136</v>
      </c>
      <c r="N42" s="16" t="s">
        <v>98</v>
      </c>
      <c r="O42" s="17"/>
      <c r="P42" s="16" t="s">
        <v>174</v>
      </c>
      <c r="Q42" s="16" t="s">
        <v>155</v>
      </c>
      <c r="R42" s="16" t="s">
        <v>430</v>
      </c>
      <c r="S42" s="17"/>
      <c r="T42" s="17" t="str">
        <f>"702,5"</f>
        <v>702,5</v>
      </c>
      <c r="U42" s="17" t="str">
        <f>"451,0752"</f>
        <v>451,0752</v>
      </c>
      <c r="V42" s="15" t="s">
        <v>431</v>
      </c>
    </row>
    <row r="43" spans="1:22" x14ac:dyDescent="0.2">
      <c r="A43" s="17" t="s">
        <v>65</v>
      </c>
      <c r="B43" s="15" t="s">
        <v>442</v>
      </c>
      <c r="C43" s="15" t="s">
        <v>443</v>
      </c>
      <c r="D43" s="15" t="s">
        <v>444</v>
      </c>
      <c r="E43" s="15" t="str">
        <f>"0,6432"</f>
        <v>0,6432</v>
      </c>
      <c r="F43" s="15" t="s">
        <v>20</v>
      </c>
      <c r="G43" s="15" t="s">
        <v>69</v>
      </c>
      <c r="H43" s="16" t="s">
        <v>258</v>
      </c>
      <c r="I43" s="16" t="s">
        <v>250</v>
      </c>
      <c r="J43" s="18" t="s">
        <v>154</v>
      </c>
      <c r="K43" s="17"/>
      <c r="L43" s="16" t="s">
        <v>98</v>
      </c>
      <c r="M43" s="16" t="s">
        <v>99</v>
      </c>
      <c r="N43" s="16" t="s">
        <v>123</v>
      </c>
      <c r="O43" s="17"/>
      <c r="P43" s="16" t="s">
        <v>154</v>
      </c>
      <c r="Q43" s="16" t="s">
        <v>155</v>
      </c>
      <c r="R43" s="18" t="s">
        <v>413</v>
      </c>
      <c r="S43" s="17"/>
      <c r="T43" s="17" t="str">
        <f>"685,0"</f>
        <v>685,0</v>
      </c>
      <c r="U43" s="17" t="str">
        <f>"440,5920"</f>
        <v>440,5920</v>
      </c>
      <c r="V43" s="15" t="s">
        <v>409</v>
      </c>
    </row>
    <row r="44" spans="1:22" x14ac:dyDescent="0.2">
      <c r="A44" s="17" t="s">
        <v>182</v>
      </c>
      <c r="B44" s="15" t="s">
        <v>445</v>
      </c>
      <c r="C44" s="15" t="s">
        <v>446</v>
      </c>
      <c r="D44" s="15" t="s">
        <v>447</v>
      </c>
      <c r="E44" s="15" t="str">
        <f>"0,6402"</f>
        <v>0,6402</v>
      </c>
      <c r="F44" s="15" t="s">
        <v>20</v>
      </c>
      <c r="G44" s="15" t="s">
        <v>448</v>
      </c>
      <c r="H44" s="16" t="s">
        <v>145</v>
      </c>
      <c r="I44" s="18" t="s">
        <v>250</v>
      </c>
      <c r="J44" s="18" t="s">
        <v>250</v>
      </c>
      <c r="K44" s="17"/>
      <c r="L44" s="16" t="s">
        <v>58</v>
      </c>
      <c r="M44" s="16" t="s">
        <v>237</v>
      </c>
      <c r="N44" s="16" t="s">
        <v>91</v>
      </c>
      <c r="O44" s="17"/>
      <c r="P44" s="16" t="s">
        <v>449</v>
      </c>
      <c r="Q44" s="18" t="s">
        <v>450</v>
      </c>
      <c r="R44" s="18" t="s">
        <v>450</v>
      </c>
      <c r="S44" s="17"/>
      <c r="T44" s="17" t="str">
        <f>"677,5"</f>
        <v>677,5</v>
      </c>
      <c r="U44" s="17" t="str">
        <f>"433,7355"</f>
        <v>433,7355</v>
      </c>
      <c r="V44" s="15" t="s">
        <v>59</v>
      </c>
    </row>
    <row r="45" spans="1:22" x14ac:dyDescent="0.2">
      <c r="A45" s="17" t="s">
        <v>276</v>
      </c>
      <c r="B45" s="15" t="s">
        <v>432</v>
      </c>
      <c r="C45" s="15" t="s">
        <v>451</v>
      </c>
      <c r="D45" s="15" t="s">
        <v>434</v>
      </c>
      <c r="E45" s="15" t="str">
        <f>"0,6536"</f>
        <v>0,6536</v>
      </c>
      <c r="F45" s="15" t="s">
        <v>96</v>
      </c>
      <c r="G45" s="15" t="s">
        <v>435</v>
      </c>
      <c r="H45" s="16" t="s">
        <v>144</v>
      </c>
      <c r="I45" s="16" t="s">
        <v>153</v>
      </c>
      <c r="J45" s="16" t="s">
        <v>174</v>
      </c>
      <c r="K45" s="17"/>
      <c r="L45" s="16" t="s">
        <v>136</v>
      </c>
      <c r="M45" s="18" t="s">
        <v>266</v>
      </c>
      <c r="N45" s="17"/>
      <c r="O45" s="17"/>
      <c r="P45" s="16" t="s">
        <v>101</v>
      </c>
      <c r="Q45" s="16" t="s">
        <v>250</v>
      </c>
      <c r="R45" s="16" t="s">
        <v>154</v>
      </c>
      <c r="S45" s="17"/>
      <c r="T45" s="17" t="str">
        <f>"645,0"</f>
        <v>645,0</v>
      </c>
      <c r="U45" s="17" t="str">
        <f>"421,5720"</f>
        <v>421,5720</v>
      </c>
      <c r="V45" s="15" t="s">
        <v>102</v>
      </c>
    </row>
    <row r="46" spans="1:22" x14ac:dyDescent="0.2">
      <c r="A46" s="21" t="s">
        <v>16</v>
      </c>
      <c r="B46" s="19" t="s">
        <v>452</v>
      </c>
      <c r="C46" s="19" t="s">
        <v>453</v>
      </c>
      <c r="D46" s="19" t="s">
        <v>454</v>
      </c>
      <c r="E46" s="19" t="str">
        <f>"0,6471"</f>
        <v>0,6471</v>
      </c>
      <c r="F46" s="19" t="s">
        <v>20</v>
      </c>
      <c r="G46" s="19" t="s">
        <v>455</v>
      </c>
      <c r="H46" s="20" t="s">
        <v>98</v>
      </c>
      <c r="I46" s="20" t="s">
        <v>99</v>
      </c>
      <c r="J46" s="22" t="s">
        <v>123</v>
      </c>
      <c r="K46" s="21"/>
      <c r="L46" s="20" t="s">
        <v>82</v>
      </c>
      <c r="M46" s="20" t="s">
        <v>107</v>
      </c>
      <c r="N46" s="20" t="s">
        <v>116</v>
      </c>
      <c r="O46" s="21"/>
      <c r="P46" s="20" t="s">
        <v>144</v>
      </c>
      <c r="Q46" s="20" t="s">
        <v>101</v>
      </c>
      <c r="R46" s="20" t="s">
        <v>145</v>
      </c>
      <c r="S46" s="21"/>
      <c r="T46" s="21" t="str">
        <f>"515,0"</f>
        <v>515,0</v>
      </c>
      <c r="U46" s="21" t="str">
        <f>"409,2390"</f>
        <v>409,2390</v>
      </c>
      <c r="V46" s="19" t="s">
        <v>456</v>
      </c>
    </row>
    <row r="47" spans="1:22" x14ac:dyDescent="0.2">
      <c r="B47" s="5" t="s">
        <v>38</v>
      </c>
    </row>
    <row r="48" spans="1:22" ht="15" x14ac:dyDescent="0.2">
      <c r="A48" s="81" t="s">
        <v>295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2" x14ac:dyDescent="0.2">
      <c r="A49" s="14" t="s">
        <v>16</v>
      </c>
      <c r="B49" s="11" t="s">
        <v>457</v>
      </c>
      <c r="C49" s="11" t="s">
        <v>458</v>
      </c>
      <c r="D49" s="11" t="s">
        <v>459</v>
      </c>
      <c r="E49" s="11" t="str">
        <f>"0,6266"</f>
        <v>0,6266</v>
      </c>
      <c r="F49" s="11" t="s">
        <v>20</v>
      </c>
      <c r="G49" s="11" t="s">
        <v>460</v>
      </c>
      <c r="H49" s="13" t="s">
        <v>208</v>
      </c>
      <c r="I49" s="12" t="s">
        <v>174</v>
      </c>
      <c r="J49" s="12" t="s">
        <v>174</v>
      </c>
      <c r="K49" s="14"/>
      <c r="L49" s="13" t="s">
        <v>229</v>
      </c>
      <c r="M49" s="13" t="s">
        <v>152</v>
      </c>
      <c r="N49" s="13" t="s">
        <v>166</v>
      </c>
      <c r="O49" s="14"/>
      <c r="P49" s="13" t="s">
        <v>413</v>
      </c>
      <c r="Q49" s="13" t="s">
        <v>259</v>
      </c>
      <c r="R49" s="12" t="s">
        <v>414</v>
      </c>
      <c r="S49" s="14"/>
      <c r="T49" s="14" t="str">
        <f>"710,0"</f>
        <v>710,0</v>
      </c>
      <c r="U49" s="14" t="str">
        <f>"444,8860"</f>
        <v>444,8860</v>
      </c>
      <c r="V49" s="11" t="s">
        <v>59</v>
      </c>
    </row>
    <row r="50" spans="1:22" x14ac:dyDescent="0.2">
      <c r="A50" s="17" t="s">
        <v>60</v>
      </c>
      <c r="B50" s="15" t="s">
        <v>461</v>
      </c>
      <c r="C50" s="15" t="s">
        <v>462</v>
      </c>
      <c r="D50" s="15" t="s">
        <v>463</v>
      </c>
      <c r="E50" s="15" t="str">
        <f>"0,6093"</f>
        <v>0,6093</v>
      </c>
      <c r="F50" s="15" t="s">
        <v>20</v>
      </c>
      <c r="G50" s="15" t="s">
        <v>464</v>
      </c>
      <c r="H50" s="18" t="s">
        <v>250</v>
      </c>
      <c r="I50" s="16" t="s">
        <v>154</v>
      </c>
      <c r="J50" s="16" t="s">
        <v>251</v>
      </c>
      <c r="K50" s="17"/>
      <c r="L50" s="16" t="s">
        <v>98</v>
      </c>
      <c r="M50" s="16" t="s">
        <v>99</v>
      </c>
      <c r="N50" s="16" t="s">
        <v>137</v>
      </c>
      <c r="O50" s="17"/>
      <c r="P50" s="16" t="s">
        <v>250</v>
      </c>
      <c r="Q50" s="18" t="s">
        <v>251</v>
      </c>
      <c r="R50" s="16" t="s">
        <v>155</v>
      </c>
      <c r="S50" s="17"/>
      <c r="T50" s="17" t="str">
        <f>"700,0"</f>
        <v>700,0</v>
      </c>
      <c r="U50" s="17" t="str">
        <f>"426,5100"</f>
        <v>426,5100</v>
      </c>
      <c r="V50" s="15" t="s">
        <v>465</v>
      </c>
    </row>
    <row r="51" spans="1:22" x14ac:dyDescent="0.2">
      <c r="A51" s="17" t="s">
        <v>65</v>
      </c>
      <c r="B51" s="15" t="s">
        <v>466</v>
      </c>
      <c r="C51" s="15" t="s">
        <v>467</v>
      </c>
      <c r="D51" s="15" t="s">
        <v>468</v>
      </c>
      <c r="E51" s="15" t="str">
        <f>"0,6142"</f>
        <v>0,6142</v>
      </c>
      <c r="F51" s="15" t="s">
        <v>20</v>
      </c>
      <c r="G51" s="15" t="s">
        <v>469</v>
      </c>
      <c r="H51" s="16" t="s">
        <v>223</v>
      </c>
      <c r="I51" s="18" t="s">
        <v>153</v>
      </c>
      <c r="J51" s="18" t="s">
        <v>153</v>
      </c>
      <c r="K51" s="17"/>
      <c r="L51" s="16" t="s">
        <v>123</v>
      </c>
      <c r="M51" s="16" t="s">
        <v>124</v>
      </c>
      <c r="N51" s="18" t="s">
        <v>143</v>
      </c>
      <c r="O51" s="17"/>
      <c r="P51" s="16" t="s">
        <v>250</v>
      </c>
      <c r="Q51" s="16" t="s">
        <v>251</v>
      </c>
      <c r="R51" s="18" t="s">
        <v>413</v>
      </c>
      <c r="S51" s="17"/>
      <c r="T51" s="17" t="str">
        <f>"665,0"</f>
        <v>665,0</v>
      </c>
      <c r="U51" s="17" t="str">
        <f>"408,4430"</f>
        <v>408,4430</v>
      </c>
      <c r="V51" s="15" t="s">
        <v>470</v>
      </c>
    </row>
    <row r="52" spans="1:22" x14ac:dyDescent="0.2">
      <c r="A52" s="17" t="s">
        <v>16</v>
      </c>
      <c r="B52" s="15" t="s">
        <v>466</v>
      </c>
      <c r="C52" s="15" t="s">
        <v>471</v>
      </c>
      <c r="D52" s="15" t="s">
        <v>468</v>
      </c>
      <c r="E52" s="15" t="str">
        <f>"0,6142"</f>
        <v>0,6142</v>
      </c>
      <c r="F52" s="15" t="s">
        <v>20</v>
      </c>
      <c r="G52" s="15" t="s">
        <v>469</v>
      </c>
      <c r="H52" s="16" t="s">
        <v>223</v>
      </c>
      <c r="I52" s="18" t="s">
        <v>153</v>
      </c>
      <c r="J52" s="18" t="s">
        <v>153</v>
      </c>
      <c r="K52" s="17"/>
      <c r="L52" s="16" t="s">
        <v>123</v>
      </c>
      <c r="M52" s="16" t="s">
        <v>124</v>
      </c>
      <c r="N52" s="18" t="s">
        <v>143</v>
      </c>
      <c r="O52" s="17"/>
      <c r="P52" s="16" t="s">
        <v>250</v>
      </c>
      <c r="Q52" s="16" t="s">
        <v>251</v>
      </c>
      <c r="R52" s="18" t="s">
        <v>413</v>
      </c>
      <c r="S52" s="17"/>
      <c r="T52" s="17" t="str">
        <f>"665,0"</f>
        <v>665,0</v>
      </c>
      <c r="U52" s="17" t="str">
        <f>"410,4852"</f>
        <v>410,4852</v>
      </c>
      <c r="V52" s="15" t="s">
        <v>470</v>
      </c>
    </row>
    <row r="53" spans="1:22" x14ac:dyDescent="0.2">
      <c r="A53" s="21" t="s">
        <v>16</v>
      </c>
      <c r="B53" s="19" t="s">
        <v>472</v>
      </c>
      <c r="C53" s="19" t="s">
        <v>473</v>
      </c>
      <c r="D53" s="19" t="s">
        <v>474</v>
      </c>
      <c r="E53" s="19" t="str">
        <f>"0,6172"</f>
        <v>0,6172</v>
      </c>
      <c r="F53" s="19" t="s">
        <v>20</v>
      </c>
      <c r="G53" s="19" t="s">
        <v>69</v>
      </c>
      <c r="H53" s="20" t="s">
        <v>110</v>
      </c>
      <c r="I53" s="20" t="s">
        <v>228</v>
      </c>
      <c r="J53" s="20" t="s">
        <v>229</v>
      </c>
      <c r="K53" s="21"/>
      <c r="L53" s="20" t="s">
        <v>90</v>
      </c>
      <c r="M53" s="20" t="s">
        <v>58</v>
      </c>
      <c r="N53" s="22" t="s">
        <v>117</v>
      </c>
      <c r="O53" s="21"/>
      <c r="P53" s="20" t="s">
        <v>143</v>
      </c>
      <c r="Q53" s="20" t="s">
        <v>392</v>
      </c>
      <c r="R53" s="20" t="s">
        <v>213</v>
      </c>
      <c r="S53" s="21"/>
      <c r="T53" s="21" t="str">
        <f>"520,0"</f>
        <v>520,0</v>
      </c>
      <c r="U53" s="21" t="str">
        <f>"374,8626"</f>
        <v>374,8626</v>
      </c>
      <c r="V53" s="19" t="s">
        <v>374</v>
      </c>
    </row>
    <row r="54" spans="1:22" x14ac:dyDescent="0.2">
      <c r="B54" s="5" t="s">
        <v>38</v>
      </c>
    </row>
    <row r="55" spans="1:22" ht="15" x14ac:dyDescent="0.2">
      <c r="A55" s="81" t="s">
        <v>323</v>
      </c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2" x14ac:dyDescent="0.2">
      <c r="A56" s="14" t="s">
        <v>16</v>
      </c>
      <c r="B56" s="11" t="s">
        <v>475</v>
      </c>
      <c r="C56" s="11" t="s">
        <v>157</v>
      </c>
      <c r="D56" s="11" t="s">
        <v>476</v>
      </c>
      <c r="E56" s="11" t="str">
        <f>"0,5990"</f>
        <v>0,5990</v>
      </c>
      <c r="F56" s="11" t="s">
        <v>171</v>
      </c>
      <c r="G56" s="11" t="s">
        <v>477</v>
      </c>
      <c r="H56" s="13" t="s">
        <v>250</v>
      </c>
      <c r="I56" s="13" t="s">
        <v>271</v>
      </c>
      <c r="J56" s="12" t="s">
        <v>251</v>
      </c>
      <c r="K56" s="14"/>
      <c r="L56" s="13" t="s">
        <v>136</v>
      </c>
      <c r="M56" s="13" t="s">
        <v>478</v>
      </c>
      <c r="N56" s="14"/>
      <c r="O56" s="14"/>
      <c r="P56" s="12" t="s">
        <v>252</v>
      </c>
      <c r="Q56" s="13" t="s">
        <v>252</v>
      </c>
      <c r="R56" s="12" t="s">
        <v>302</v>
      </c>
      <c r="S56" s="14"/>
      <c r="T56" s="14" t="str">
        <f>"680,0"</f>
        <v>680,0</v>
      </c>
      <c r="U56" s="14" t="str">
        <f>"407,3200"</f>
        <v>407,3200</v>
      </c>
      <c r="V56" s="11" t="s">
        <v>59</v>
      </c>
    </row>
    <row r="57" spans="1:22" x14ac:dyDescent="0.2">
      <c r="A57" s="17" t="s">
        <v>16</v>
      </c>
      <c r="B57" s="15" t="s">
        <v>479</v>
      </c>
      <c r="C57" s="15" t="s">
        <v>480</v>
      </c>
      <c r="D57" s="15" t="s">
        <v>481</v>
      </c>
      <c r="E57" s="15" t="str">
        <f>"0,5893"</f>
        <v>0,5893</v>
      </c>
      <c r="F57" s="15" t="s">
        <v>20</v>
      </c>
      <c r="G57" s="15" t="s">
        <v>69</v>
      </c>
      <c r="H57" s="16" t="s">
        <v>145</v>
      </c>
      <c r="I57" s="16" t="s">
        <v>482</v>
      </c>
      <c r="J57" s="16" t="s">
        <v>174</v>
      </c>
      <c r="K57" s="17"/>
      <c r="L57" s="16" t="s">
        <v>143</v>
      </c>
      <c r="M57" s="16" t="s">
        <v>392</v>
      </c>
      <c r="N57" s="18" t="s">
        <v>213</v>
      </c>
      <c r="O57" s="17"/>
      <c r="P57" s="16" t="s">
        <v>250</v>
      </c>
      <c r="Q57" s="16" t="s">
        <v>154</v>
      </c>
      <c r="R57" s="16" t="s">
        <v>483</v>
      </c>
      <c r="S57" s="17"/>
      <c r="T57" s="17" t="str">
        <f>"710,0"</f>
        <v>710,0</v>
      </c>
      <c r="U57" s="17" t="str">
        <f>"418,4030"</f>
        <v>418,4030</v>
      </c>
      <c r="V57" s="15" t="s">
        <v>374</v>
      </c>
    </row>
    <row r="58" spans="1:22" x14ac:dyDescent="0.2">
      <c r="A58" s="17" t="s">
        <v>60</v>
      </c>
      <c r="B58" s="15" t="s">
        <v>484</v>
      </c>
      <c r="C58" s="15" t="s">
        <v>485</v>
      </c>
      <c r="D58" s="15" t="s">
        <v>486</v>
      </c>
      <c r="E58" s="15" t="str">
        <f>"0,6002"</f>
        <v>0,6002</v>
      </c>
      <c r="F58" s="15" t="s">
        <v>20</v>
      </c>
      <c r="G58" s="15" t="s">
        <v>401</v>
      </c>
      <c r="H58" s="16" t="s">
        <v>101</v>
      </c>
      <c r="I58" s="16" t="s">
        <v>153</v>
      </c>
      <c r="J58" s="16" t="s">
        <v>482</v>
      </c>
      <c r="K58" s="17"/>
      <c r="L58" s="16" t="s">
        <v>137</v>
      </c>
      <c r="M58" s="18" t="s">
        <v>166</v>
      </c>
      <c r="N58" s="18" t="s">
        <v>166</v>
      </c>
      <c r="O58" s="17"/>
      <c r="P58" s="16" t="s">
        <v>175</v>
      </c>
      <c r="Q58" s="16" t="s">
        <v>155</v>
      </c>
      <c r="R58" s="16" t="s">
        <v>252</v>
      </c>
      <c r="S58" s="17"/>
      <c r="T58" s="17" t="str">
        <f>"682,5"</f>
        <v>682,5</v>
      </c>
      <c r="U58" s="17" t="str">
        <f>"409,6365"</f>
        <v>409,6365</v>
      </c>
      <c r="V58" s="15" t="s">
        <v>487</v>
      </c>
    </row>
    <row r="59" spans="1:22" x14ac:dyDescent="0.2">
      <c r="A59" s="17" t="s">
        <v>16</v>
      </c>
      <c r="B59" s="15" t="s">
        <v>330</v>
      </c>
      <c r="C59" s="15" t="s">
        <v>331</v>
      </c>
      <c r="D59" s="15" t="s">
        <v>332</v>
      </c>
      <c r="E59" s="15" t="str">
        <f>"0,5910"</f>
        <v>0,5910</v>
      </c>
      <c r="F59" s="15" t="s">
        <v>20</v>
      </c>
      <c r="G59" s="15" t="s">
        <v>279</v>
      </c>
      <c r="H59" s="16" t="s">
        <v>101</v>
      </c>
      <c r="I59" s="18" t="s">
        <v>208</v>
      </c>
      <c r="J59" s="18" t="s">
        <v>208</v>
      </c>
      <c r="K59" s="17"/>
      <c r="L59" s="16" t="s">
        <v>118</v>
      </c>
      <c r="M59" s="16" t="s">
        <v>136</v>
      </c>
      <c r="N59" s="16" t="s">
        <v>98</v>
      </c>
      <c r="O59" s="17"/>
      <c r="P59" s="16" t="s">
        <v>143</v>
      </c>
      <c r="Q59" s="16" t="s">
        <v>144</v>
      </c>
      <c r="R59" s="18" t="s">
        <v>101</v>
      </c>
      <c r="S59" s="17"/>
      <c r="T59" s="17" t="str">
        <f>"590,0"</f>
        <v>590,0</v>
      </c>
      <c r="U59" s="17" t="str">
        <f>"364,0324"</f>
        <v>364,0324</v>
      </c>
      <c r="V59" s="15" t="s">
        <v>59</v>
      </c>
    </row>
    <row r="60" spans="1:22" x14ac:dyDescent="0.2">
      <c r="A60" s="21" t="s">
        <v>16</v>
      </c>
      <c r="B60" s="19" t="s">
        <v>488</v>
      </c>
      <c r="C60" s="19" t="s">
        <v>489</v>
      </c>
      <c r="D60" s="19" t="s">
        <v>490</v>
      </c>
      <c r="E60" s="19" t="str">
        <f>"0,5960"</f>
        <v>0,5960</v>
      </c>
      <c r="F60" s="19" t="s">
        <v>20</v>
      </c>
      <c r="G60" s="19" t="s">
        <v>491</v>
      </c>
      <c r="H60" s="22" t="s">
        <v>143</v>
      </c>
      <c r="I60" s="22" t="s">
        <v>143</v>
      </c>
      <c r="J60" s="20" t="s">
        <v>143</v>
      </c>
      <c r="K60" s="21"/>
      <c r="L60" s="20" t="s">
        <v>83</v>
      </c>
      <c r="M60" s="20" t="s">
        <v>125</v>
      </c>
      <c r="N60" s="20" t="s">
        <v>109</v>
      </c>
      <c r="O60" s="21"/>
      <c r="P60" s="22" t="s">
        <v>101</v>
      </c>
      <c r="Q60" s="20" t="s">
        <v>101</v>
      </c>
      <c r="R60" s="20" t="s">
        <v>208</v>
      </c>
      <c r="S60" s="21"/>
      <c r="T60" s="21" t="str">
        <f>"590,0"</f>
        <v>590,0</v>
      </c>
      <c r="U60" s="21" t="str">
        <f>"456,0771"</f>
        <v>456,0771</v>
      </c>
      <c r="V60" s="19" t="s">
        <v>492</v>
      </c>
    </row>
    <row r="61" spans="1:22" x14ac:dyDescent="0.2">
      <c r="B61" s="5" t="s">
        <v>38</v>
      </c>
    </row>
    <row r="62" spans="1:22" ht="15" x14ac:dyDescent="0.2">
      <c r="A62" s="81" t="s">
        <v>333</v>
      </c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2" x14ac:dyDescent="0.2">
      <c r="A63" s="14" t="s">
        <v>16</v>
      </c>
      <c r="B63" s="11" t="s">
        <v>493</v>
      </c>
      <c r="C63" s="11" t="s">
        <v>494</v>
      </c>
      <c r="D63" s="11" t="s">
        <v>495</v>
      </c>
      <c r="E63" s="11" t="str">
        <f>"0,5778"</f>
        <v>0,5778</v>
      </c>
      <c r="F63" s="11" t="s">
        <v>20</v>
      </c>
      <c r="G63" s="11" t="s">
        <v>69</v>
      </c>
      <c r="H63" s="13" t="s">
        <v>496</v>
      </c>
      <c r="I63" s="13" t="s">
        <v>497</v>
      </c>
      <c r="J63" s="12" t="s">
        <v>498</v>
      </c>
      <c r="K63" s="14"/>
      <c r="L63" s="13" t="s">
        <v>83</v>
      </c>
      <c r="M63" s="14"/>
      <c r="N63" s="14"/>
      <c r="O63" s="14"/>
      <c r="P63" s="13" t="s">
        <v>414</v>
      </c>
      <c r="Q63" s="13" t="s">
        <v>261</v>
      </c>
      <c r="R63" s="12" t="s">
        <v>499</v>
      </c>
      <c r="S63" s="14"/>
      <c r="T63" s="14" t="str">
        <f>"792,5"</f>
        <v>792,5</v>
      </c>
      <c r="U63" s="14" t="str">
        <f>"457,9065"</f>
        <v>457,9065</v>
      </c>
      <c r="V63" s="11" t="s">
        <v>59</v>
      </c>
    </row>
    <row r="64" spans="1:22" x14ac:dyDescent="0.2">
      <c r="A64" s="21" t="s">
        <v>60</v>
      </c>
      <c r="B64" s="19" t="s">
        <v>500</v>
      </c>
      <c r="C64" s="19" t="s">
        <v>501</v>
      </c>
      <c r="D64" s="19" t="s">
        <v>502</v>
      </c>
      <c r="E64" s="19" t="str">
        <f>"0,5831"</f>
        <v>0,5831</v>
      </c>
      <c r="F64" s="19" t="s">
        <v>190</v>
      </c>
      <c r="G64" s="19" t="s">
        <v>191</v>
      </c>
      <c r="H64" s="20" t="s">
        <v>99</v>
      </c>
      <c r="I64" s="22" t="s">
        <v>124</v>
      </c>
      <c r="J64" s="20" t="s">
        <v>124</v>
      </c>
      <c r="K64" s="21"/>
      <c r="L64" s="20" t="s">
        <v>58</v>
      </c>
      <c r="M64" s="20" t="s">
        <v>118</v>
      </c>
      <c r="N64" s="20" t="s">
        <v>125</v>
      </c>
      <c r="O64" s="21"/>
      <c r="P64" s="20" t="s">
        <v>123</v>
      </c>
      <c r="Q64" s="20" t="s">
        <v>124</v>
      </c>
      <c r="R64" s="20" t="s">
        <v>143</v>
      </c>
      <c r="S64" s="21"/>
      <c r="T64" s="21" t="str">
        <f>"535,0"</f>
        <v>535,0</v>
      </c>
      <c r="U64" s="21" t="str">
        <f>"311,9585"</f>
        <v>311,9585</v>
      </c>
      <c r="V64" s="19" t="s">
        <v>59</v>
      </c>
    </row>
    <row r="65" spans="1:22" x14ac:dyDescent="0.2">
      <c r="B65" s="5" t="s">
        <v>38</v>
      </c>
    </row>
    <row r="66" spans="1:22" ht="15" x14ac:dyDescent="0.2">
      <c r="A66" s="81" t="s">
        <v>503</v>
      </c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</row>
    <row r="67" spans="1:22" x14ac:dyDescent="0.2">
      <c r="A67" s="14" t="s">
        <v>16</v>
      </c>
      <c r="B67" s="11" t="s">
        <v>504</v>
      </c>
      <c r="C67" s="11" t="s">
        <v>505</v>
      </c>
      <c r="D67" s="11" t="s">
        <v>506</v>
      </c>
      <c r="E67" s="11" t="str">
        <f>"0,5668"</f>
        <v>0,5668</v>
      </c>
      <c r="F67" s="11" t="s">
        <v>20</v>
      </c>
      <c r="G67" s="11" t="s">
        <v>279</v>
      </c>
      <c r="H67" s="13" t="s">
        <v>259</v>
      </c>
      <c r="I67" s="13" t="s">
        <v>449</v>
      </c>
      <c r="J67" s="12" t="s">
        <v>499</v>
      </c>
      <c r="K67" s="14"/>
      <c r="L67" s="13" t="s">
        <v>124</v>
      </c>
      <c r="M67" s="13" t="s">
        <v>143</v>
      </c>
      <c r="N67" s="13" t="s">
        <v>223</v>
      </c>
      <c r="O67" s="14"/>
      <c r="P67" s="13" t="s">
        <v>261</v>
      </c>
      <c r="Q67" s="12" t="s">
        <v>496</v>
      </c>
      <c r="R67" s="12" t="s">
        <v>496</v>
      </c>
      <c r="S67" s="14"/>
      <c r="T67" s="14" t="str">
        <f>"840,0"</f>
        <v>840,0</v>
      </c>
      <c r="U67" s="14" t="str">
        <f>"476,1120"</f>
        <v>476,1120</v>
      </c>
      <c r="V67" s="11" t="s">
        <v>59</v>
      </c>
    </row>
    <row r="68" spans="1:22" x14ac:dyDescent="0.2">
      <c r="A68" s="21" t="s">
        <v>60</v>
      </c>
      <c r="B68" s="19" t="s">
        <v>507</v>
      </c>
      <c r="C68" s="19" t="s">
        <v>508</v>
      </c>
      <c r="D68" s="19" t="s">
        <v>509</v>
      </c>
      <c r="E68" s="19" t="str">
        <f>"0,5661"</f>
        <v>0,5661</v>
      </c>
      <c r="F68" s="19" t="s">
        <v>20</v>
      </c>
      <c r="G68" s="19" t="s">
        <v>69</v>
      </c>
      <c r="H68" s="20" t="s">
        <v>313</v>
      </c>
      <c r="I68" s="20" t="s">
        <v>483</v>
      </c>
      <c r="J68" s="20" t="s">
        <v>510</v>
      </c>
      <c r="K68" s="21"/>
      <c r="L68" s="20" t="s">
        <v>166</v>
      </c>
      <c r="M68" s="20" t="s">
        <v>160</v>
      </c>
      <c r="N68" s="22" t="s">
        <v>143</v>
      </c>
      <c r="O68" s="21"/>
      <c r="P68" s="20" t="s">
        <v>174</v>
      </c>
      <c r="Q68" s="20" t="s">
        <v>251</v>
      </c>
      <c r="R68" s="20" t="s">
        <v>155</v>
      </c>
      <c r="S68" s="21"/>
      <c r="T68" s="21" t="str">
        <f>"722,5"</f>
        <v>722,5</v>
      </c>
      <c r="U68" s="21" t="str">
        <f>"409,0073"</f>
        <v>409,0073</v>
      </c>
      <c r="V68" s="19" t="s">
        <v>59</v>
      </c>
    </row>
    <row r="69" spans="1:22" x14ac:dyDescent="0.2">
      <c r="B69" s="5" t="s">
        <v>38</v>
      </c>
    </row>
    <row r="70" spans="1:22" ht="15" x14ac:dyDescent="0.2">
      <c r="A70" s="81" t="s">
        <v>511</v>
      </c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</row>
    <row r="71" spans="1:22" x14ac:dyDescent="0.2">
      <c r="A71" s="10" t="s">
        <v>16</v>
      </c>
      <c r="B71" s="7" t="s">
        <v>512</v>
      </c>
      <c r="C71" s="7" t="s">
        <v>513</v>
      </c>
      <c r="D71" s="7" t="s">
        <v>514</v>
      </c>
      <c r="E71" s="7" t="str">
        <f>"0,5351"</f>
        <v>0,5351</v>
      </c>
      <c r="F71" s="7" t="s">
        <v>20</v>
      </c>
      <c r="G71" s="7" t="s">
        <v>515</v>
      </c>
      <c r="H71" s="8" t="s">
        <v>516</v>
      </c>
      <c r="I71" s="9" t="s">
        <v>517</v>
      </c>
      <c r="J71" s="8" t="s">
        <v>518</v>
      </c>
      <c r="K71" s="10"/>
      <c r="L71" s="8" t="s">
        <v>153</v>
      </c>
      <c r="M71" s="9" t="s">
        <v>250</v>
      </c>
      <c r="N71" s="8" t="s">
        <v>250</v>
      </c>
      <c r="O71" s="10"/>
      <c r="P71" s="9" t="s">
        <v>414</v>
      </c>
      <c r="Q71" s="8" t="s">
        <v>414</v>
      </c>
      <c r="R71" s="8" t="s">
        <v>496</v>
      </c>
      <c r="S71" s="10"/>
      <c r="T71" s="10" t="str">
        <f>"970,0"</f>
        <v>970,0</v>
      </c>
      <c r="U71" s="10" t="str">
        <f>"519,0470"</f>
        <v>519,0470</v>
      </c>
      <c r="V71" s="7" t="s">
        <v>59</v>
      </c>
    </row>
    <row r="72" spans="1:22" x14ac:dyDescent="0.2">
      <c r="B72" s="5" t="s">
        <v>38</v>
      </c>
    </row>
    <row r="73" spans="1:22" ht="15" x14ac:dyDescent="0.2">
      <c r="B73" s="5" t="s">
        <v>38</v>
      </c>
      <c r="F73" s="23"/>
    </row>
    <row r="74" spans="1:22" x14ac:dyDescent="0.2">
      <c r="B74" s="5" t="s">
        <v>38</v>
      </c>
    </row>
    <row r="75" spans="1:22" ht="18" x14ac:dyDescent="0.2">
      <c r="B75" s="24" t="s">
        <v>340</v>
      </c>
      <c r="C75" s="24"/>
      <c r="G75" s="3"/>
    </row>
    <row r="76" spans="1:22" ht="15" x14ac:dyDescent="0.2">
      <c r="B76" s="73" t="s">
        <v>519</v>
      </c>
      <c r="C76" s="73"/>
      <c r="G76" s="3"/>
    </row>
    <row r="77" spans="1:22" ht="14.25" x14ac:dyDescent="0.2">
      <c r="B77" s="25"/>
      <c r="C77" s="25" t="s">
        <v>358</v>
      </c>
      <c r="G77" s="3"/>
    </row>
    <row r="78" spans="1:22" ht="15" x14ac:dyDescent="0.2">
      <c r="B78" s="4" t="s">
        <v>343</v>
      </c>
      <c r="C78" s="4" t="s">
        <v>344</v>
      </c>
      <c r="D78" s="4" t="s">
        <v>345</v>
      </c>
      <c r="E78" s="4" t="s">
        <v>346</v>
      </c>
      <c r="F78" s="4" t="s">
        <v>347</v>
      </c>
      <c r="G78" s="3"/>
    </row>
    <row r="79" spans="1:22" x14ac:dyDescent="0.2">
      <c r="B79" s="5" t="s">
        <v>389</v>
      </c>
      <c r="C79" s="5" t="s">
        <v>358</v>
      </c>
      <c r="D79" s="6" t="s">
        <v>355</v>
      </c>
      <c r="E79" s="6" t="s">
        <v>520</v>
      </c>
      <c r="F79" s="6" t="s">
        <v>521</v>
      </c>
      <c r="G79" s="3"/>
    </row>
    <row r="80" spans="1:22" x14ac:dyDescent="0.2">
      <c r="B80" s="5" t="s">
        <v>383</v>
      </c>
      <c r="C80" s="5" t="s">
        <v>358</v>
      </c>
      <c r="D80" s="6" t="s">
        <v>349</v>
      </c>
      <c r="E80" s="6" t="s">
        <v>522</v>
      </c>
      <c r="F80" s="6" t="s">
        <v>523</v>
      </c>
      <c r="G80" s="3"/>
    </row>
    <row r="81" spans="2:7" x14ac:dyDescent="0.2">
      <c r="B81" s="5" t="s">
        <v>375</v>
      </c>
      <c r="C81" s="5" t="s">
        <v>358</v>
      </c>
      <c r="D81" s="6" t="s">
        <v>524</v>
      </c>
      <c r="E81" s="6" t="s">
        <v>525</v>
      </c>
      <c r="F81" s="6" t="s">
        <v>526</v>
      </c>
      <c r="G81" s="3"/>
    </row>
    <row r="82" spans="2:7" x14ac:dyDescent="0.2">
      <c r="G82" s="3"/>
    </row>
    <row r="83" spans="2:7" ht="15" x14ac:dyDescent="0.2">
      <c r="B83" s="73" t="s">
        <v>341</v>
      </c>
      <c r="C83" s="73"/>
      <c r="G83" s="3"/>
    </row>
    <row r="84" spans="2:7" ht="14.25" x14ac:dyDescent="0.2">
      <c r="B84" s="25"/>
      <c r="C84" s="25" t="s">
        <v>358</v>
      </c>
      <c r="G84" s="3"/>
    </row>
    <row r="85" spans="2:7" ht="15" x14ac:dyDescent="0.2">
      <c r="B85" s="4" t="s">
        <v>343</v>
      </c>
      <c r="C85" s="4" t="s">
        <v>344</v>
      </c>
      <c r="D85" s="4" t="s">
        <v>345</v>
      </c>
      <c r="E85" s="4" t="s">
        <v>346</v>
      </c>
      <c r="F85" s="4" t="s">
        <v>347</v>
      </c>
      <c r="G85" s="3"/>
    </row>
    <row r="86" spans="2:7" x14ac:dyDescent="0.2">
      <c r="B86" s="5" t="s">
        <v>512</v>
      </c>
      <c r="C86" s="5" t="s">
        <v>358</v>
      </c>
      <c r="D86" s="6" t="s">
        <v>527</v>
      </c>
      <c r="E86" s="6" t="s">
        <v>528</v>
      </c>
      <c r="F86" s="6" t="s">
        <v>529</v>
      </c>
      <c r="G86" s="3"/>
    </row>
    <row r="87" spans="2:7" x14ac:dyDescent="0.2">
      <c r="B87" s="5" t="s">
        <v>410</v>
      </c>
      <c r="C87" s="5" t="s">
        <v>358</v>
      </c>
      <c r="D87" s="6" t="s">
        <v>355</v>
      </c>
      <c r="E87" s="6" t="s">
        <v>530</v>
      </c>
      <c r="F87" s="6" t="s">
        <v>531</v>
      </c>
      <c r="G87" s="3"/>
    </row>
    <row r="88" spans="2:7" x14ac:dyDescent="0.2">
      <c r="B88" s="5" t="s">
        <v>504</v>
      </c>
      <c r="C88" s="5" t="s">
        <v>358</v>
      </c>
      <c r="D88" s="6" t="s">
        <v>532</v>
      </c>
      <c r="E88" s="6" t="s">
        <v>533</v>
      </c>
      <c r="F88" s="6" t="s">
        <v>534</v>
      </c>
      <c r="G88" s="3"/>
    </row>
  </sheetData>
  <mergeCells count="29">
    <mergeCell ref="A8:U8"/>
    <mergeCell ref="A70:U70"/>
    <mergeCell ref="A14:U14"/>
    <mergeCell ref="A18:U18"/>
    <mergeCell ref="A21:U21"/>
    <mergeCell ref="A24:U24"/>
    <mergeCell ref="A28:U28"/>
    <mergeCell ref="A32:U32"/>
    <mergeCell ref="A38:U38"/>
    <mergeCell ref="A48:U48"/>
    <mergeCell ref="A55:U55"/>
    <mergeCell ref="A62:U62"/>
    <mergeCell ref="A66:U66"/>
    <mergeCell ref="A11:U11"/>
    <mergeCell ref="A5:U5"/>
    <mergeCell ref="B3:B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N101"/>
  <sheetViews>
    <sheetView workbookViewId="0">
      <selection sqref="A1:V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85546875" style="5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0.42578125" style="5" bestFit="1" customWidth="1"/>
    <col min="8" max="11" width="5.42578125" style="6" bestFit="1" customWidth="1"/>
    <col min="12" max="12" width="11.28515625" style="30" bestFit="1" customWidth="1"/>
    <col min="13" max="13" width="8.42578125" style="6" bestFit="1" customWidth="1"/>
    <col min="14" max="14" width="32.42578125" style="5" bestFit="1" customWidth="1"/>
    <col min="15" max="16384" width="9.140625" style="3"/>
  </cols>
  <sheetData>
    <row r="1" spans="1:14" s="2" customFormat="1" ht="29.1" customHeight="1" x14ac:dyDescent="0.2">
      <c r="A1" s="83" t="s">
        <v>1708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10</v>
      </c>
      <c r="I3" s="94"/>
      <c r="J3" s="94"/>
      <c r="K3" s="94"/>
      <c r="L3" s="97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8"/>
      <c r="M4" s="93"/>
      <c r="N4" s="78"/>
    </row>
    <row r="5" spans="1:14" ht="15" x14ac:dyDescent="0.2">
      <c r="A5" s="79" t="s">
        <v>15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4" t="s">
        <v>16</v>
      </c>
      <c r="B6" s="11" t="s">
        <v>1709</v>
      </c>
      <c r="C6" s="11" t="s">
        <v>1710</v>
      </c>
      <c r="D6" s="11" t="s">
        <v>1711</v>
      </c>
      <c r="E6" s="11" t="str">
        <f>"1,3367"</f>
        <v>1,3367</v>
      </c>
      <c r="F6" s="11" t="s">
        <v>20</v>
      </c>
      <c r="G6" s="11" t="s">
        <v>1712</v>
      </c>
      <c r="H6" s="13" t="s">
        <v>53</v>
      </c>
      <c r="I6" s="13" t="s">
        <v>30</v>
      </c>
      <c r="J6" s="12" t="s">
        <v>82</v>
      </c>
      <c r="K6" s="14"/>
      <c r="L6" s="28" t="str">
        <f>"100,0"</f>
        <v>100,0</v>
      </c>
      <c r="M6" s="14" t="str">
        <f>"133,6700"</f>
        <v>133,6700</v>
      </c>
      <c r="N6" s="11" t="s">
        <v>1548</v>
      </c>
    </row>
    <row r="7" spans="1:14" x14ac:dyDescent="0.2">
      <c r="A7" s="17" t="s">
        <v>16</v>
      </c>
      <c r="B7" s="15" t="s">
        <v>17</v>
      </c>
      <c r="C7" s="15" t="s">
        <v>18</v>
      </c>
      <c r="D7" s="15" t="s">
        <v>19</v>
      </c>
      <c r="E7" s="15" t="str">
        <f>"1,4936"</f>
        <v>1,4936</v>
      </c>
      <c r="F7" s="15" t="s">
        <v>20</v>
      </c>
      <c r="G7" s="15" t="s">
        <v>21</v>
      </c>
      <c r="H7" s="16" t="s">
        <v>28</v>
      </c>
      <c r="I7" s="16" t="s">
        <v>29</v>
      </c>
      <c r="J7" s="16" t="s">
        <v>30</v>
      </c>
      <c r="K7" s="17"/>
      <c r="L7" s="32" t="str">
        <f>"100,0"</f>
        <v>100,0</v>
      </c>
      <c r="M7" s="17" t="str">
        <f>"149,3600"</f>
        <v>149,3600</v>
      </c>
      <c r="N7" s="15" t="s">
        <v>31</v>
      </c>
    </row>
    <row r="8" spans="1:14" x14ac:dyDescent="0.2">
      <c r="A8" s="21" t="s">
        <v>60</v>
      </c>
      <c r="B8" s="19" t="s">
        <v>1713</v>
      </c>
      <c r="C8" s="19" t="s">
        <v>1714</v>
      </c>
      <c r="D8" s="19" t="s">
        <v>1711</v>
      </c>
      <c r="E8" s="19" t="str">
        <f>"1,3367"</f>
        <v>1,3367</v>
      </c>
      <c r="F8" s="19" t="s">
        <v>20</v>
      </c>
      <c r="G8" s="19" t="s">
        <v>1715</v>
      </c>
      <c r="H8" s="20" t="s">
        <v>53</v>
      </c>
      <c r="I8" s="20" t="s">
        <v>30</v>
      </c>
      <c r="J8" s="22" t="s">
        <v>82</v>
      </c>
      <c r="K8" s="21"/>
      <c r="L8" s="29" t="str">
        <f>"100,0"</f>
        <v>100,0</v>
      </c>
      <c r="M8" s="21" t="str">
        <f>"133,6700"</f>
        <v>133,6700</v>
      </c>
      <c r="N8" s="19" t="s">
        <v>1716</v>
      </c>
    </row>
    <row r="9" spans="1:14" x14ac:dyDescent="0.2">
      <c r="B9" s="5" t="s">
        <v>38</v>
      </c>
    </row>
    <row r="10" spans="1:14" ht="15" x14ac:dyDescent="0.2">
      <c r="A10" s="81" t="s">
        <v>39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4" x14ac:dyDescent="0.2">
      <c r="A11" s="14" t="s">
        <v>16</v>
      </c>
      <c r="B11" s="11" t="s">
        <v>536</v>
      </c>
      <c r="C11" s="11" t="s">
        <v>537</v>
      </c>
      <c r="D11" s="11" t="s">
        <v>538</v>
      </c>
      <c r="E11" s="49" t="str">
        <f>"1,2578"</f>
        <v>1,2578</v>
      </c>
      <c r="F11" s="11" t="s">
        <v>20</v>
      </c>
      <c r="G11" s="40" t="s">
        <v>515</v>
      </c>
      <c r="H11" s="37" t="s">
        <v>82</v>
      </c>
      <c r="I11" s="12" t="s">
        <v>88</v>
      </c>
      <c r="J11" s="55" t="s">
        <v>88</v>
      </c>
      <c r="K11" s="52"/>
      <c r="L11" s="28" t="str">
        <f>"110,0"</f>
        <v>110,0</v>
      </c>
      <c r="M11" s="14" t="str">
        <f>"138,3580"</f>
        <v>138,3580</v>
      </c>
      <c r="N11" s="11" t="s">
        <v>539</v>
      </c>
    </row>
    <row r="12" spans="1:14" x14ac:dyDescent="0.2">
      <c r="A12" s="17" t="s">
        <v>186</v>
      </c>
      <c r="B12" s="15" t="s">
        <v>1717</v>
      </c>
      <c r="C12" s="15" t="s">
        <v>1718</v>
      </c>
      <c r="D12" s="15" t="s">
        <v>1719</v>
      </c>
      <c r="E12" s="50" t="str">
        <f>"1,2654"</f>
        <v>1,2654</v>
      </c>
      <c r="F12" s="15" t="s">
        <v>20</v>
      </c>
      <c r="G12" s="42" t="s">
        <v>591</v>
      </c>
      <c r="H12" s="34" t="s">
        <v>385</v>
      </c>
      <c r="I12" s="18" t="s">
        <v>385</v>
      </c>
      <c r="J12" s="56" t="s">
        <v>385</v>
      </c>
      <c r="K12" s="53"/>
      <c r="L12" s="32">
        <v>0</v>
      </c>
      <c r="M12" s="17" t="str">
        <f>"0,0000"</f>
        <v>0,0000</v>
      </c>
      <c r="N12" s="15" t="s">
        <v>59</v>
      </c>
    </row>
    <row r="13" spans="1:14" x14ac:dyDescent="0.2">
      <c r="A13" s="21" t="s">
        <v>16</v>
      </c>
      <c r="B13" s="19" t="s">
        <v>1720</v>
      </c>
      <c r="C13" s="19" t="s">
        <v>1721</v>
      </c>
      <c r="D13" s="19" t="s">
        <v>1722</v>
      </c>
      <c r="E13" s="51" t="str">
        <f>"1,2541"</f>
        <v>1,2541</v>
      </c>
      <c r="F13" s="19" t="s">
        <v>552</v>
      </c>
      <c r="G13" s="48" t="s">
        <v>708</v>
      </c>
      <c r="H13" s="46" t="s">
        <v>386</v>
      </c>
      <c r="I13" s="20" t="s">
        <v>88</v>
      </c>
      <c r="J13" s="57" t="s">
        <v>57</v>
      </c>
      <c r="K13" s="54"/>
      <c r="L13" s="29" t="str">
        <f>"117,5"</f>
        <v>117,5</v>
      </c>
      <c r="M13" s="21" t="str">
        <f>"151,4827"</f>
        <v>151,4827</v>
      </c>
      <c r="N13" s="19" t="s">
        <v>59</v>
      </c>
    </row>
    <row r="14" spans="1:14" x14ac:dyDescent="0.2">
      <c r="B14" s="5" t="s">
        <v>38</v>
      </c>
    </row>
    <row r="15" spans="1:14" ht="15" x14ac:dyDescent="0.2">
      <c r="A15" s="81" t="s">
        <v>753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4" x14ac:dyDescent="0.2">
      <c r="A16" s="14" t="s">
        <v>16</v>
      </c>
      <c r="B16" s="11" t="s">
        <v>1723</v>
      </c>
      <c r="C16" s="11" t="s">
        <v>1724</v>
      </c>
      <c r="D16" s="11" t="s">
        <v>1725</v>
      </c>
      <c r="E16" s="11" t="str">
        <f>"1,1950"</f>
        <v>1,1950</v>
      </c>
      <c r="F16" s="11" t="s">
        <v>20</v>
      </c>
      <c r="G16" s="11" t="s">
        <v>761</v>
      </c>
      <c r="H16" s="13" t="s">
        <v>89</v>
      </c>
      <c r="I16" s="13" t="s">
        <v>34</v>
      </c>
      <c r="J16" s="13" t="s">
        <v>23</v>
      </c>
      <c r="K16" s="14"/>
      <c r="L16" s="28" t="str">
        <f>"75,0"</f>
        <v>75,0</v>
      </c>
      <c r="M16" s="14" t="str">
        <f>"89,6250"</f>
        <v>89,6250</v>
      </c>
      <c r="N16" s="11" t="s">
        <v>762</v>
      </c>
    </row>
    <row r="17" spans="1:14" x14ac:dyDescent="0.2">
      <c r="A17" s="17" t="s">
        <v>186</v>
      </c>
      <c r="B17" s="15" t="s">
        <v>1726</v>
      </c>
      <c r="C17" s="15" t="s">
        <v>1727</v>
      </c>
      <c r="D17" s="15" t="s">
        <v>873</v>
      </c>
      <c r="E17" s="15" t="str">
        <f>"1,2054"</f>
        <v>1,2054</v>
      </c>
      <c r="F17" s="15" t="s">
        <v>20</v>
      </c>
      <c r="G17" s="15" t="s">
        <v>69</v>
      </c>
      <c r="H17" s="18" t="s">
        <v>107</v>
      </c>
      <c r="I17" s="18" t="s">
        <v>116</v>
      </c>
      <c r="J17" s="18" t="s">
        <v>90</v>
      </c>
      <c r="K17" s="17"/>
      <c r="L17" s="32">
        <v>0</v>
      </c>
      <c r="M17" s="17" t="str">
        <f>"0,0000"</f>
        <v>0,0000</v>
      </c>
      <c r="N17" s="15" t="s">
        <v>1728</v>
      </c>
    </row>
    <row r="18" spans="1:14" x14ac:dyDescent="0.2">
      <c r="A18" s="66" t="s">
        <v>203</v>
      </c>
      <c r="B18" s="19" t="s">
        <v>1729</v>
      </c>
      <c r="C18" s="19" t="s">
        <v>1730</v>
      </c>
      <c r="D18" s="19" t="s">
        <v>1731</v>
      </c>
      <c r="E18" s="19" t="str">
        <f>"1,2248"</f>
        <v>1,2248</v>
      </c>
      <c r="F18" s="19" t="s">
        <v>190</v>
      </c>
      <c r="G18" s="19" t="s">
        <v>566</v>
      </c>
      <c r="H18" s="20" t="s">
        <v>116</v>
      </c>
      <c r="I18" s="20" t="s">
        <v>90</v>
      </c>
      <c r="J18" s="20" t="s">
        <v>117</v>
      </c>
      <c r="K18" s="21"/>
      <c r="L18" s="29" t="str">
        <f>"132,5"</f>
        <v>132,5</v>
      </c>
      <c r="M18" s="21" t="str">
        <f>"162,2860"</f>
        <v>162,2860</v>
      </c>
      <c r="N18" s="19" t="s">
        <v>59</v>
      </c>
    </row>
    <row r="19" spans="1:14" x14ac:dyDescent="0.2">
      <c r="B19" s="5" t="s">
        <v>38</v>
      </c>
    </row>
    <row r="20" spans="1:14" ht="15" x14ac:dyDescent="0.2">
      <c r="A20" s="81" t="s">
        <v>48</v>
      </c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4" x14ac:dyDescent="0.2">
      <c r="A21" s="10" t="s">
        <v>16</v>
      </c>
      <c r="B21" s="7" t="s">
        <v>1732</v>
      </c>
      <c r="C21" s="7" t="s">
        <v>1733</v>
      </c>
      <c r="D21" s="7" t="s">
        <v>377</v>
      </c>
      <c r="E21" s="7" t="str">
        <f>"1,1178"</f>
        <v>1,1178</v>
      </c>
      <c r="F21" s="7" t="s">
        <v>20</v>
      </c>
      <c r="G21" s="7" t="s">
        <v>1065</v>
      </c>
      <c r="H21" s="8" t="s">
        <v>35</v>
      </c>
      <c r="I21" s="8" t="s">
        <v>64</v>
      </c>
      <c r="J21" s="9" t="s">
        <v>385</v>
      </c>
      <c r="K21" s="10"/>
      <c r="L21" s="31" t="str">
        <f>"92,5"</f>
        <v>92,5</v>
      </c>
      <c r="M21" s="10" t="str">
        <f>"103,3965"</f>
        <v>103,3965</v>
      </c>
      <c r="N21" s="7" t="s">
        <v>1066</v>
      </c>
    </row>
    <row r="22" spans="1:14" x14ac:dyDescent="0.2">
      <c r="B22" s="5" t="s">
        <v>38</v>
      </c>
    </row>
    <row r="23" spans="1:14" ht="15" x14ac:dyDescent="0.2">
      <c r="A23" s="81" t="s">
        <v>73</v>
      </c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4" x14ac:dyDescent="0.2">
      <c r="A24" s="10" t="s">
        <v>16</v>
      </c>
      <c r="B24" s="7" t="s">
        <v>1734</v>
      </c>
      <c r="C24" s="7" t="s">
        <v>1735</v>
      </c>
      <c r="D24" s="7" t="s">
        <v>1736</v>
      </c>
      <c r="E24" s="7" t="str">
        <f>"1,0206"</f>
        <v>1,0206</v>
      </c>
      <c r="F24" s="7" t="s">
        <v>20</v>
      </c>
      <c r="G24" s="7" t="s">
        <v>1065</v>
      </c>
      <c r="H24" s="8" t="s">
        <v>82</v>
      </c>
      <c r="I24" s="9" t="s">
        <v>107</v>
      </c>
      <c r="J24" s="8" t="s">
        <v>107</v>
      </c>
      <c r="K24" s="10"/>
      <c r="L24" s="31" t="str">
        <f>"115,0"</f>
        <v>115,0</v>
      </c>
      <c r="M24" s="10" t="str">
        <f>"117,3690"</f>
        <v>117,3690</v>
      </c>
      <c r="N24" s="7" t="s">
        <v>1066</v>
      </c>
    </row>
    <row r="25" spans="1:14" x14ac:dyDescent="0.2">
      <c r="B25" s="5" t="s">
        <v>38</v>
      </c>
    </row>
    <row r="26" spans="1:14" ht="15" x14ac:dyDescent="0.2">
      <c r="A26" s="81" t="s">
        <v>131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4" x14ac:dyDescent="0.2">
      <c r="A27" s="10" t="s">
        <v>16</v>
      </c>
      <c r="B27" s="7" t="s">
        <v>1737</v>
      </c>
      <c r="C27" s="7" t="s">
        <v>1738</v>
      </c>
      <c r="D27" s="7" t="s">
        <v>1739</v>
      </c>
      <c r="E27" s="7" t="str">
        <f>"0,9613"</f>
        <v>0,9613</v>
      </c>
      <c r="F27" s="7" t="s">
        <v>20</v>
      </c>
      <c r="G27" s="7" t="s">
        <v>579</v>
      </c>
      <c r="H27" s="8" t="s">
        <v>83</v>
      </c>
      <c r="I27" s="8" t="s">
        <v>91</v>
      </c>
      <c r="J27" s="9" t="s">
        <v>109</v>
      </c>
      <c r="K27" s="10"/>
      <c r="L27" s="31" t="str">
        <f>"142,5"</f>
        <v>142,5</v>
      </c>
      <c r="M27" s="10" t="str">
        <f>"147,6701"</f>
        <v>147,6701</v>
      </c>
      <c r="N27" s="7" t="s">
        <v>1740</v>
      </c>
    </row>
    <row r="28" spans="1:14" x14ac:dyDescent="0.2">
      <c r="B28" s="5" t="s">
        <v>38</v>
      </c>
    </row>
    <row r="29" spans="1:14" ht="15" x14ac:dyDescent="0.2">
      <c r="A29" s="81" t="s">
        <v>73</v>
      </c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4" x14ac:dyDescent="0.2">
      <c r="A30" s="14" t="s">
        <v>16</v>
      </c>
      <c r="B30" s="11" t="s">
        <v>1741</v>
      </c>
      <c r="C30" s="11" t="s">
        <v>1742</v>
      </c>
      <c r="D30" s="11" t="s">
        <v>1736</v>
      </c>
      <c r="E30" s="11" t="str">
        <f>"0,7710"</f>
        <v>0,7710</v>
      </c>
      <c r="F30" s="11" t="s">
        <v>20</v>
      </c>
      <c r="G30" s="11" t="s">
        <v>1065</v>
      </c>
      <c r="H30" s="13" t="s">
        <v>125</v>
      </c>
      <c r="I30" s="12" t="s">
        <v>98</v>
      </c>
      <c r="J30" s="12" t="s">
        <v>98</v>
      </c>
      <c r="K30" s="14"/>
      <c r="L30" s="28" t="str">
        <f>"145,0"</f>
        <v>145,0</v>
      </c>
      <c r="M30" s="14" t="str">
        <f>"111,7950"</f>
        <v>111,7950</v>
      </c>
      <c r="N30" s="11" t="s">
        <v>1743</v>
      </c>
    </row>
    <row r="31" spans="1:14" x14ac:dyDescent="0.2">
      <c r="A31" s="17" t="s">
        <v>16</v>
      </c>
      <c r="B31" s="15" t="s">
        <v>1744</v>
      </c>
      <c r="C31" s="15" t="s">
        <v>1745</v>
      </c>
      <c r="D31" s="15" t="s">
        <v>1736</v>
      </c>
      <c r="E31" s="15" t="str">
        <f>"0,7710"</f>
        <v>0,7710</v>
      </c>
      <c r="F31" s="15" t="s">
        <v>20</v>
      </c>
      <c r="G31" s="15" t="s">
        <v>579</v>
      </c>
      <c r="H31" s="16" t="s">
        <v>143</v>
      </c>
      <c r="I31" s="16" t="s">
        <v>144</v>
      </c>
      <c r="J31" s="18" t="s">
        <v>161</v>
      </c>
      <c r="K31" s="17"/>
      <c r="L31" s="32" t="str">
        <f>"210,0"</f>
        <v>210,0</v>
      </c>
      <c r="M31" s="17" t="str">
        <f>"161,9100"</f>
        <v>161,9100</v>
      </c>
      <c r="N31" s="15" t="s">
        <v>1746</v>
      </c>
    </row>
    <row r="32" spans="1:14" x14ac:dyDescent="0.2">
      <c r="A32" s="17" t="s">
        <v>60</v>
      </c>
      <c r="B32" s="15" t="s">
        <v>949</v>
      </c>
      <c r="C32" s="15" t="s">
        <v>950</v>
      </c>
      <c r="D32" s="15" t="s">
        <v>400</v>
      </c>
      <c r="E32" s="15" t="str">
        <f>"0,7852"</f>
        <v>0,7852</v>
      </c>
      <c r="F32" s="15" t="s">
        <v>20</v>
      </c>
      <c r="G32" s="15" t="s">
        <v>69</v>
      </c>
      <c r="H32" s="16" t="s">
        <v>143</v>
      </c>
      <c r="I32" s="18" t="s">
        <v>1344</v>
      </c>
      <c r="J32" s="18" t="s">
        <v>100</v>
      </c>
      <c r="K32" s="17"/>
      <c r="L32" s="32" t="str">
        <f>"200,0"</f>
        <v>200,0</v>
      </c>
      <c r="M32" s="17" t="str">
        <f>"157,0400"</f>
        <v>157,0400</v>
      </c>
      <c r="N32" s="15" t="s">
        <v>59</v>
      </c>
    </row>
    <row r="33" spans="1:14" x14ac:dyDescent="0.2">
      <c r="A33" s="21" t="s">
        <v>16</v>
      </c>
      <c r="B33" s="19" t="s">
        <v>763</v>
      </c>
      <c r="C33" s="19" t="s">
        <v>764</v>
      </c>
      <c r="D33" s="19" t="s">
        <v>765</v>
      </c>
      <c r="E33" s="19" t="str">
        <f>"0,7729"</f>
        <v>0,7729</v>
      </c>
      <c r="F33" s="19" t="s">
        <v>20</v>
      </c>
      <c r="G33" s="19" t="s">
        <v>69</v>
      </c>
      <c r="H33" s="20" t="s">
        <v>99</v>
      </c>
      <c r="I33" s="20" t="s">
        <v>124</v>
      </c>
      <c r="J33" s="20" t="s">
        <v>766</v>
      </c>
      <c r="K33" s="22" t="s">
        <v>143</v>
      </c>
      <c r="L33" s="29" t="str">
        <f>"195,5"</f>
        <v>195,5</v>
      </c>
      <c r="M33" s="21" t="str">
        <f>"153,2174"</f>
        <v>153,2174</v>
      </c>
      <c r="N33" s="19" t="s">
        <v>59</v>
      </c>
    </row>
    <row r="34" spans="1:14" x14ac:dyDescent="0.2">
      <c r="B34" s="5" t="s">
        <v>38</v>
      </c>
    </row>
    <row r="35" spans="1:14" ht="15" x14ac:dyDescent="0.2">
      <c r="A35" s="81" t="s">
        <v>131</v>
      </c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4" x14ac:dyDescent="0.2">
      <c r="A36" s="14" t="s">
        <v>16</v>
      </c>
      <c r="B36" s="11" t="s">
        <v>148</v>
      </c>
      <c r="C36" s="11" t="s">
        <v>149</v>
      </c>
      <c r="D36" s="11" t="s">
        <v>150</v>
      </c>
      <c r="E36" s="11" t="str">
        <f>"0,7126"</f>
        <v>0,7126</v>
      </c>
      <c r="F36" s="11" t="s">
        <v>20</v>
      </c>
      <c r="G36" s="11" t="s">
        <v>151</v>
      </c>
      <c r="H36" s="13" t="s">
        <v>153</v>
      </c>
      <c r="I36" s="13" t="s">
        <v>154</v>
      </c>
      <c r="J36" s="13" t="s">
        <v>155</v>
      </c>
      <c r="K36" s="14"/>
      <c r="L36" s="28" t="str">
        <f>"265,0"</f>
        <v>265,0</v>
      </c>
      <c r="M36" s="14" t="str">
        <f>"188,8390"</f>
        <v>188,8390</v>
      </c>
      <c r="N36" s="11" t="s">
        <v>59</v>
      </c>
    </row>
    <row r="37" spans="1:14" x14ac:dyDescent="0.2">
      <c r="A37" s="17" t="s">
        <v>60</v>
      </c>
      <c r="B37" s="15" t="s">
        <v>162</v>
      </c>
      <c r="C37" s="15" t="s">
        <v>163</v>
      </c>
      <c r="D37" s="15" t="s">
        <v>164</v>
      </c>
      <c r="E37" s="15" t="str">
        <f>"0,7307"</f>
        <v>0,7307</v>
      </c>
      <c r="F37" s="15" t="s">
        <v>20</v>
      </c>
      <c r="G37" s="15" t="s">
        <v>165</v>
      </c>
      <c r="H37" s="18" t="s">
        <v>137</v>
      </c>
      <c r="I37" s="16" t="s">
        <v>123</v>
      </c>
      <c r="J37" s="18" t="s">
        <v>166</v>
      </c>
      <c r="K37" s="17"/>
      <c r="L37" s="32" t="str">
        <f>"180,0"</f>
        <v>180,0</v>
      </c>
      <c r="M37" s="17" t="str">
        <f>"131,5260"</f>
        <v>131,5260</v>
      </c>
      <c r="N37" s="15" t="s">
        <v>167</v>
      </c>
    </row>
    <row r="38" spans="1:14" x14ac:dyDescent="0.2">
      <c r="A38" s="17" t="s">
        <v>16</v>
      </c>
      <c r="B38" s="15" t="s">
        <v>975</v>
      </c>
      <c r="C38" s="15" t="s">
        <v>976</v>
      </c>
      <c r="D38" s="15" t="s">
        <v>977</v>
      </c>
      <c r="E38" s="15" t="str">
        <f>"0,7200"</f>
        <v>0,7200</v>
      </c>
      <c r="F38" s="15" t="s">
        <v>20</v>
      </c>
      <c r="G38" s="15" t="s">
        <v>605</v>
      </c>
      <c r="H38" s="16" t="s">
        <v>118</v>
      </c>
      <c r="I38" s="16" t="s">
        <v>109</v>
      </c>
      <c r="J38" s="18" t="s">
        <v>110</v>
      </c>
      <c r="K38" s="17"/>
      <c r="L38" s="32" t="str">
        <f>"155,0"</f>
        <v>155,0</v>
      </c>
      <c r="M38" s="17" t="str">
        <f>"111,6000"</f>
        <v>111,6000</v>
      </c>
      <c r="N38" s="15" t="s">
        <v>59</v>
      </c>
    </row>
    <row r="39" spans="1:14" x14ac:dyDescent="0.2">
      <c r="A39" s="17" t="s">
        <v>16</v>
      </c>
      <c r="B39" s="15" t="s">
        <v>1000</v>
      </c>
      <c r="C39" s="15" t="s">
        <v>1001</v>
      </c>
      <c r="D39" s="15" t="s">
        <v>960</v>
      </c>
      <c r="E39" s="15" t="str">
        <f>"0,7390"</f>
        <v>0,7390</v>
      </c>
      <c r="F39" s="15" t="s">
        <v>190</v>
      </c>
      <c r="G39" s="15" t="s">
        <v>566</v>
      </c>
      <c r="H39" s="16" t="s">
        <v>125</v>
      </c>
      <c r="I39" s="16" t="s">
        <v>109</v>
      </c>
      <c r="J39" s="18" t="s">
        <v>110</v>
      </c>
      <c r="K39" s="17"/>
      <c r="L39" s="32" t="str">
        <f>"155,0"</f>
        <v>155,0</v>
      </c>
      <c r="M39" s="17" t="str">
        <f>"186,7084"</f>
        <v>186,7084</v>
      </c>
      <c r="N39" s="15" t="s">
        <v>59</v>
      </c>
    </row>
    <row r="40" spans="1:14" x14ac:dyDescent="0.2">
      <c r="A40" s="21" t="s">
        <v>16</v>
      </c>
      <c r="B40" s="19" t="s">
        <v>1747</v>
      </c>
      <c r="C40" s="19" t="s">
        <v>1748</v>
      </c>
      <c r="D40" s="19" t="s">
        <v>1749</v>
      </c>
      <c r="E40" s="19" t="str">
        <f>"0,7430"</f>
        <v>0,7430</v>
      </c>
      <c r="F40" s="19" t="s">
        <v>20</v>
      </c>
      <c r="G40" s="19" t="s">
        <v>265</v>
      </c>
      <c r="H40" s="20" t="s">
        <v>125</v>
      </c>
      <c r="I40" s="20" t="s">
        <v>109</v>
      </c>
      <c r="J40" s="22" t="s">
        <v>110</v>
      </c>
      <c r="K40" s="21"/>
      <c r="L40" s="29" t="str">
        <f>"155,0"</f>
        <v>155,0</v>
      </c>
      <c r="M40" s="21" t="str">
        <f>"204,9937"</f>
        <v>204,9937</v>
      </c>
      <c r="N40" s="19" t="s">
        <v>875</v>
      </c>
    </row>
    <row r="41" spans="1:14" x14ac:dyDescent="0.2">
      <c r="B41" s="5" t="s">
        <v>38</v>
      </c>
    </row>
    <row r="42" spans="1:14" ht="15" x14ac:dyDescent="0.2">
      <c r="A42" s="81" t="s">
        <v>192</v>
      </c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4" x14ac:dyDescent="0.2">
      <c r="A43" s="68" t="s">
        <v>203</v>
      </c>
      <c r="B43" s="11" t="s">
        <v>204</v>
      </c>
      <c r="C43" s="11" t="s">
        <v>205</v>
      </c>
      <c r="D43" s="11" t="s">
        <v>206</v>
      </c>
      <c r="E43" s="11" t="str">
        <f>"0,6893"</f>
        <v>0,6893</v>
      </c>
      <c r="F43" s="11" t="s">
        <v>20</v>
      </c>
      <c r="G43" s="11" t="s">
        <v>207</v>
      </c>
      <c r="H43" s="13" t="s">
        <v>208</v>
      </c>
      <c r="I43" s="13" t="s">
        <v>174</v>
      </c>
      <c r="J43" s="12" t="s">
        <v>154</v>
      </c>
      <c r="K43" s="14"/>
      <c r="L43" s="28" t="str">
        <f>"245,0"</f>
        <v>245,0</v>
      </c>
      <c r="M43" s="14" t="str">
        <f>"168,8785"</f>
        <v>168,8785</v>
      </c>
      <c r="N43" s="11" t="s">
        <v>59</v>
      </c>
    </row>
    <row r="44" spans="1:14" x14ac:dyDescent="0.2">
      <c r="A44" s="17" t="s">
        <v>16</v>
      </c>
      <c r="B44" s="15" t="s">
        <v>214</v>
      </c>
      <c r="C44" s="15" t="s">
        <v>215</v>
      </c>
      <c r="D44" s="15" t="s">
        <v>216</v>
      </c>
      <c r="E44" s="15" t="str">
        <f>"0,6854"</f>
        <v>0,6854</v>
      </c>
      <c r="F44" s="15" t="s">
        <v>20</v>
      </c>
      <c r="G44" s="15" t="s">
        <v>217</v>
      </c>
      <c r="H44" s="18" t="s">
        <v>101</v>
      </c>
      <c r="I44" s="16" t="s">
        <v>101</v>
      </c>
      <c r="J44" s="16" t="s">
        <v>145</v>
      </c>
      <c r="K44" s="17"/>
      <c r="L44" s="32" t="str">
        <f>"225,0"</f>
        <v>225,0</v>
      </c>
      <c r="M44" s="17" t="str">
        <f>"154,2150"</f>
        <v>154,2150</v>
      </c>
      <c r="N44" s="15" t="s">
        <v>59</v>
      </c>
    </row>
    <row r="45" spans="1:14" x14ac:dyDescent="0.2">
      <c r="A45" s="17" t="s">
        <v>60</v>
      </c>
      <c r="B45" s="15" t="s">
        <v>209</v>
      </c>
      <c r="C45" s="15" t="s">
        <v>210</v>
      </c>
      <c r="D45" s="15" t="s">
        <v>211</v>
      </c>
      <c r="E45" s="15" t="str">
        <f>"0,6714"</f>
        <v>0,6714</v>
      </c>
      <c r="F45" s="15" t="s">
        <v>20</v>
      </c>
      <c r="G45" s="15" t="s">
        <v>212</v>
      </c>
      <c r="H45" s="16" t="s">
        <v>143</v>
      </c>
      <c r="I45" s="16" t="s">
        <v>213</v>
      </c>
      <c r="J45" s="18" t="s">
        <v>101</v>
      </c>
      <c r="K45" s="17"/>
      <c r="L45" s="32" t="str">
        <f>"212,5"</f>
        <v>212,5</v>
      </c>
      <c r="M45" s="17" t="str">
        <f>"142,6725"</f>
        <v>142,6725</v>
      </c>
      <c r="N45" s="15" t="s">
        <v>167</v>
      </c>
    </row>
    <row r="46" spans="1:14" x14ac:dyDescent="0.2">
      <c r="A46" s="17" t="s">
        <v>16</v>
      </c>
      <c r="B46" s="15" t="s">
        <v>218</v>
      </c>
      <c r="C46" s="15" t="s">
        <v>219</v>
      </c>
      <c r="D46" s="15" t="s">
        <v>220</v>
      </c>
      <c r="E46" s="15" t="str">
        <f>"0,6838"</f>
        <v>0,6838</v>
      </c>
      <c r="F46" s="15" t="s">
        <v>221</v>
      </c>
      <c r="G46" s="42" t="s">
        <v>222</v>
      </c>
      <c r="H46" s="16" t="s">
        <v>153</v>
      </c>
      <c r="I46" s="16" t="s">
        <v>146</v>
      </c>
      <c r="J46" s="18" t="s">
        <v>154</v>
      </c>
      <c r="K46" s="17"/>
      <c r="L46" s="32" t="str">
        <f>"247,5"</f>
        <v>247,5</v>
      </c>
      <c r="M46" s="17" t="str">
        <f>"169,2405"</f>
        <v>169,2405</v>
      </c>
      <c r="N46" s="15" t="s">
        <v>59</v>
      </c>
    </row>
    <row r="47" spans="1:14" x14ac:dyDescent="0.2">
      <c r="A47" s="76" t="s">
        <v>203</v>
      </c>
      <c r="B47" s="15" t="s">
        <v>204</v>
      </c>
      <c r="C47" s="15" t="s">
        <v>1750</v>
      </c>
      <c r="D47" s="15" t="s">
        <v>206</v>
      </c>
      <c r="E47" s="15" t="str">
        <f>"0,6893"</f>
        <v>0,6893</v>
      </c>
      <c r="F47" s="15" t="s">
        <v>20</v>
      </c>
      <c r="G47" s="15" t="s">
        <v>207</v>
      </c>
      <c r="H47" s="16" t="s">
        <v>208</v>
      </c>
      <c r="I47" s="16" t="s">
        <v>174</v>
      </c>
      <c r="J47" s="18" t="s">
        <v>154</v>
      </c>
      <c r="K47" s="17"/>
      <c r="L47" s="32" t="str">
        <f>"245,0"</f>
        <v>245,0</v>
      </c>
      <c r="M47" s="17" t="str">
        <f>"168,8785"</f>
        <v>168,8785</v>
      </c>
      <c r="N47" s="15" t="s">
        <v>59</v>
      </c>
    </row>
    <row r="48" spans="1:14" x14ac:dyDescent="0.2">
      <c r="A48" s="21" t="s">
        <v>60</v>
      </c>
      <c r="B48" s="19" t="s">
        <v>1751</v>
      </c>
      <c r="C48" s="19" t="s">
        <v>1752</v>
      </c>
      <c r="D48" s="19" t="s">
        <v>226</v>
      </c>
      <c r="E48" s="19" t="str">
        <f>"0,6734"</f>
        <v>0,6734</v>
      </c>
      <c r="F48" s="19" t="s">
        <v>20</v>
      </c>
      <c r="G48" s="19" t="s">
        <v>69</v>
      </c>
      <c r="H48" s="20" t="s">
        <v>100</v>
      </c>
      <c r="I48" s="20" t="s">
        <v>144</v>
      </c>
      <c r="J48" s="20" t="s">
        <v>223</v>
      </c>
      <c r="K48" s="21"/>
      <c r="L48" s="29" t="str">
        <f>"215,0"</f>
        <v>215,0</v>
      </c>
      <c r="M48" s="21" t="str">
        <f>"144,7810"</f>
        <v>144,7810</v>
      </c>
      <c r="N48" s="19" t="s">
        <v>59</v>
      </c>
    </row>
    <row r="49" spans="1:14" x14ac:dyDescent="0.2">
      <c r="B49" s="5" t="s">
        <v>38</v>
      </c>
    </row>
    <row r="50" spans="1:14" ht="15" x14ac:dyDescent="0.2">
      <c r="A50" s="81" t="s">
        <v>246</v>
      </c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4" x14ac:dyDescent="0.2">
      <c r="A51" s="14" t="s">
        <v>16</v>
      </c>
      <c r="B51" s="11" t="s">
        <v>247</v>
      </c>
      <c r="C51" s="11" t="s">
        <v>248</v>
      </c>
      <c r="D51" s="11" t="s">
        <v>249</v>
      </c>
      <c r="E51" s="11" t="str">
        <f>"0,6413"</f>
        <v>0,6413</v>
      </c>
      <c r="F51" s="11" t="s">
        <v>20</v>
      </c>
      <c r="G51" s="11" t="s">
        <v>151</v>
      </c>
      <c r="H51" s="13" t="s">
        <v>250</v>
      </c>
      <c r="I51" s="13" t="s">
        <v>251</v>
      </c>
      <c r="J51" s="12" t="s">
        <v>252</v>
      </c>
      <c r="K51" s="14"/>
      <c r="L51" s="28" t="str">
        <f>"260,0"</f>
        <v>260,0</v>
      </c>
      <c r="M51" s="14" t="str">
        <f>"166,7380"</f>
        <v>166,7380</v>
      </c>
      <c r="N51" s="11" t="s">
        <v>253</v>
      </c>
    </row>
    <row r="52" spans="1:14" x14ac:dyDescent="0.2">
      <c r="A52" s="17" t="s">
        <v>16</v>
      </c>
      <c r="B52" s="15" t="s">
        <v>1753</v>
      </c>
      <c r="C52" s="15" t="s">
        <v>1754</v>
      </c>
      <c r="D52" s="15" t="s">
        <v>438</v>
      </c>
      <c r="E52" s="15" t="str">
        <f>"0,6391"</f>
        <v>0,6391</v>
      </c>
      <c r="F52" s="15" t="s">
        <v>672</v>
      </c>
      <c r="G52" s="15" t="s">
        <v>673</v>
      </c>
      <c r="H52" s="18" t="s">
        <v>251</v>
      </c>
      <c r="I52" s="16" t="s">
        <v>251</v>
      </c>
      <c r="J52" s="18" t="s">
        <v>1304</v>
      </c>
      <c r="K52" s="17"/>
      <c r="L52" s="32" t="str">
        <f>"260,0"</f>
        <v>260,0</v>
      </c>
      <c r="M52" s="17" t="str">
        <f>"166,1660"</f>
        <v>166,1660</v>
      </c>
      <c r="N52" s="15" t="s">
        <v>275</v>
      </c>
    </row>
    <row r="53" spans="1:14" x14ac:dyDescent="0.2">
      <c r="A53" s="17" t="s">
        <v>60</v>
      </c>
      <c r="B53" s="15" t="s">
        <v>1100</v>
      </c>
      <c r="C53" s="15" t="s">
        <v>1101</v>
      </c>
      <c r="D53" s="15" t="s">
        <v>1102</v>
      </c>
      <c r="E53" s="15" t="str">
        <f>"0,6487"</f>
        <v>0,6487</v>
      </c>
      <c r="F53" s="15" t="s">
        <v>20</v>
      </c>
      <c r="G53" s="15" t="s">
        <v>69</v>
      </c>
      <c r="H53" s="16" t="s">
        <v>144</v>
      </c>
      <c r="I53" s="16" t="s">
        <v>153</v>
      </c>
      <c r="J53" s="16" t="s">
        <v>250</v>
      </c>
      <c r="K53" s="17"/>
      <c r="L53" s="32" t="str">
        <f>"240,0"</f>
        <v>240,0</v>
      </c>
      <c r="M53" s="17" t="str">
        <f>"155,6880"</f>
        <v>155,6880</v>
      </c>
      <c r="N53" s="15" t="s">
        <v>59</v>
      </c>
    </row>
    <row r="54" spans="1:14" x14ac:dyDescent="0.2">
      <c r="A54" s="17" t="s">
        <v>65</v>
      </c>
      <c r="B54" s="15" t="s">
        <v>289</v>
      </c>
      <c r="C54" s="15" t="s">
        <v>290</v>
      </c>
      <c r="D54" s="15" t="s">
        <v>288</v>
      </c>
      <c r="E54" s="15" t="str">
        <f>"0,6467"</f>
        <v>0,6467</v>
      </c>
      <c r="F54" s="15" t="s">
        <v>20</v>
      </c>
      <c r="G54" s="15" t="s">
        <v>291</v>
      </c>
      <c r="H54" s="18" t="s">
        <v>145</v>
      </c>
      <c r="I54" s="16" t="s">
        <v>145</v>
      </c>
      <c r="J54" s="16" t="s">
        <v>208</v>
      </c>
      <c r="K54" s="17"/>
      <c r="L54" s="32" t="str">
        <f>"235,0"</f>
        <v>235,0</v>
      </c>
      <c r="M54" s="17" t="str">
        <f>"151,9745"</f>
        <v>151,9745</v>
      </c>
      <c r="N54" s="15" t="s">
        <v>59</v>
      </c>
    </row>
    <row r="55" spans="1:14" x14ac:dyDescent="0.2">
      <c r="A55" s="17" t="s">
        <v>182</v>
      </c>
      <c r="B55" s="15" t="s">
        <v>1755</v>
      </c>
      <c r="C55" s="15" t="s">
        <v>1756</v>
      </c>
      <c r="D55" s="15" t="s">
        <v>1099</v>
      </c>
      <c r="E55" s="15" t="str">
        <f>"0,6406"</f>
        <v>0,6406</v>
      </c>
      <c r="F55" s="15" t="s">
        <v>20</v>
      </c>
      <c r="G55" s="15" t="s">
        <v>583</v>
      </c>
      <c r="H55" s="16" t="s">
        <v>153</v>
      </c>
      <c r="I55" s="18" t="s">
        <v>174</v>
      </c>
      <c r="J55" s="18" t="s">
        <v>174</v>
      </c>
      <c r="K55" s="17"/>
      <c r="L55" s="32" t="str">
        <f>"230,0"</f>
        <v>230,0</v>
      </c>
      <c r="M55" s="17" t="str">
        <f>"147,3380"</f>
        <v>147,3380</v>
      </c>
      <c r="N55" s="15" t="s">
        <v>59</v>
      </c>
    </row>
    <row r="56" spans="1:14" x14ac:dyDescent="0.2">
      <c r="A56" s="17" t="s">
        <v>276</v>
      </c>
      <c r="B56" s="15" t="s">
        <v>277</v>
      </c>
      <c r="C56" s="15" t="s">
        <v>278</v>
      </c>
      <c r="D56" s="15" t="s">
        <v>274</v>
      </c>
      <c r="E56" s="15" t="str">
        <f>"0,6424"</f>
        <v>0,6424</v>
      </c>
      <c r="F56" s="15" t="s">
        <v>20</v>
      </c>
      <c r="G56" s="15" t="s">
        <v>279</v>
      </c>
      <c r="H56" s="16" t="s">
        <v>143</v>
      </c>
      <c r="I56" s="18" t="s">
        <v>144</v>
      </c>
      <c r="J56" s="16" t="s">
        <v>144</v>
      </c>
      <c r="K56" s="17"/>
      <c r="L56" s="32" t="str">
        <f>"210,0"</f>
        <v>210,0</v>
      </c>
      <c r="M56" s="17" t="str">
        <f>"134,9040"</f>
        <v>134,9040</v>
      </c>
      <c r="N56" s="15" t="s">
        <v>280</v>
      </c>
    </row>
    <row r="57" spans="1:14" x14ac:dyDescent="0.2">
      <c r="A57" s="17" t="s">
        <v>16</v>
      </c>
      <c r="B57" s="15" t="s">
        <v>292</v>
      </c>
      <c r="C57" s="15" t="s">
        <v>293</v>
      </c>
      <c r="D57" s="15" t="s">
        <v>294</v>
      </c>
      <c r="E57" s="15" t="str">
        <f>"0,6388"</f>
        <v>0,6388</v>
      </c>
      <c r="F57" s="15" t="s">
        <v>20</v>
      </c>
      <c r="G57" s="15" t="s">
        <v>718</v>
      </c>
      <c r="H57" s="16" t="s">
        <v>143</v>
      </c>
      <c r="I57" s="16" t="s">
        <v>144</v>
      </c>
      <c r="J57" s="16" t="s">
        <v>101</v>
      </c>
      <c r="K57" s="17"/>
      <c r="L57" s="32" t="str">
        <f>"220,0"</f>
        <v>220,0</v>
      </c>
      <c r="M57" s="17" t="str">
        <f>"148,9682"</f>
        <v>148,9682</v>
      </c>
      <c r="N57" s="15" t="s">
        <v>59</v>
      </c>
    </row>
    <row r="58" spans="1:14" x14ac:dyDescent="0.2">
      <c r="A58" s="21" t="s">
        <v>60</v>
      </c>
      <c r="B58" s="19" t="s">
        <v>1757</v>
      </c>
      <c r="C58" s="19" t="s">
        <v>1758</v>
      </c>
      <c r="D58" s="19" t="s">
        <v>270</v>
      </c>
      <c r="E58" s="19" t="str">
        <f>"0,6395"</f>
        <v>0,6395</v>
      </c>
      <c r="F58" s="19" t="s">
        <v>20</v>
      </c>
      <c r="G58" s="19" t="s">
        <v>69</v>
      </c>
      <c r="H58" s="20" t="s">
        <v>100</v>
      </c>
      <c r="I58" s="20" t="s">
        <v>144</v>
      </c>
      <c r="J58" s="20" t="s">
        <v>223</v>
      </c>
      <c r="K58" s="21"/>
      <c r="L58" s="29" t="str">
        <f>"215,0"</f>
        <v>215,0</v>
      </c>
      <c r="M58" s="21" t="str">
        <f>"141,3423"</f>
        <v>141,3423</v>
      </c>
      <c r="N58" s="19" t="s">
        <v>1759</v>
      </c>
    </row>
    <row r="59" spans="1:14" x14ac:dyDescent="0.2">
      <c r="B59" s="5" t="s">
        <v>38</v>
      </c>
    </row>
    <row r="60" spans="1:14" ht="15" x14ac:dyDescent="0.2">
      <c r="A60" s="81" t="s">
        <v>295</v>
      </c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4" x14ac:dyDescent="0.2">
      <c r="A61" s="10" t="s">
        <v>16</v>
      </c>
      <c r="B61" s="7" t="s">
        <v>796</v>
      </c>
      <c r="C61" s="7" t="s">
        <v>797</v>
      </c>
      <c r="D61" s="7" t="s">
        <v>798</v>
      </c>
      <c r="E61" s="7" t="str">
        <f>"0,6166"</f>
        <v>0,6166</v>
      </c>
      <c r="F61" s="7" t="s">
        <v>20</v>
      </c>
      <c r="G61" s="7" t="s">
        <v>279</v>
      </c>
      <c r="H61" s="8" t="s">
        <v>154</v>
      </c>
      <c r="I61" s="8" t="s">
        <v>252</v>
      </c>
      <c r="J61" s="9" t="s">
        <v>413</v>
      </c>
      <c r="K61" s="10"/>
      <c r="L61" s="31" t="str">
        <f>"270,0"</f>
        <v>270,0</v>
      </c>
      <c r="M61" s="10" t="str">
        <f>"166,4820"</f>
        <v>166,4820</v>
      </c>
      <c r="N61" s="7" t="s">
        <v>799</v>
      </c>
    </row>
    <row r="62" spans="1:14" x14ac:dyDescent="0.2">
      <c r="B62" s="5" t="s">
        <v>38</v>
      </c>
    </row>
    <row r="63" spans="1:14" ht="15" x14ac:dyDescent="0.2">
      <c r="A63" s="81" t="s">
        <v>323</v>
      </c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14" x14ac:dyDescent="0.2">
      <c r="A64" s="14" t="s">
        <v>16</v>
      </c>
      <c r="B64" s="11" t="s">
        <v>326</v>
      </c>
      <c r="C64" s="11" t="s">
        <v>327</v>
      </c>
      <c r="D64" s="11" t="s">
        <v>328</v>
      </c>
      <c r="E64" s="11" t="str">
        <f>"0,6032"</f>
        <v>0,6032</v>
      </c>
      <c r="F64" s="11" t="s">
        <v>20</v>
      </c>
      <c r="G64" s="11" t="s">
        <v>135</v>
      </c>
      <c r="H64" s="13" t="s">
        <v>153</v>
      </c>
      <c r="I64" s="13" t="s">
        <v>154</v>
      </c>
      <c r="J64" s="12" t="s">
        <v>155</v>
      </c>
      <c r="K64" s="14"/>
      <c r="L64" s="28" t="str">
        <f>"250,0"</f>
        <v>250,0</v>
      </c>
      <c r="M64" s="14" t="str">
        <f>"150,8000"</f>
        <v>150,8000</v>
      </c>
      <c r="N64" s="11" t="s">
        <v>329</v>
      </c>
    </row>
    <row r="65" spans="1:14" x14ac:dyDescent="0.2">
      <c r="A65" s="17" t="s">
        <v>60</v>
      </c>
      <c r="B65" s="15" t="s">
        <v>1643</v>
      </c>
      <c r="C65" s="15" t="s">
        <v>1644</v>
      </c>
      <c r="D65" s="15" t="s">
        <v>1645</v>
      </c>
      <c r="E65" s="15" t="str">
        <f>"0,5988"</f>
        <v>0,5988</v>
      </c>
      <c r="F65" s="15" t="s">
        <v>20</v>
      </c>
      <c r="G65" s="15" t="s">
        <v>69</v>
      </c>
      <c r="H65" s="16" t="s">
        <v>124</v>
      </c>
      <c r="I65" s="16" t="s">
        <v>143</v>
      </c>
      <c r="J65" s="16" t="s">
        <v>223</v>
      </c>
      <c r="K65" s="17"/>
      <c r="L65" s="32" t="str">
        <f>"215,0"</f>
        <v>215,0</v>
      </c>
      <c r="M65" s="17" t="str">
        <f>"128,7420"</f>
        <v>128,7420</v>
      </c>
      <c r="N65" s="15" t="s">
        <v>59</v>
      </c>
    </row>
    <row r="66" spans="1:14" x14ac:dyDescent="0.2">
      <c r="A66" s="17" t="s">
        <v>65</v>
      </c>
      <c r="B66" s="15" t="s">
        <v>330</v>
      </c>
      <c r="C66" s="15" t="s">
        <v>597</v>
      </c>
      <c r="D66" s="15" t="s">
        <v>332</v>
      </c>
      <c r="E66" s="15" t="str">
        <f>"0,5910"</f>
        <v>0,5910</v>
      </c>
      <c r="F66" s="15" t="s">
        <v>20</v>
      </c>
      <c r="G66" s="15" t="s">
        <v>279</v>
      </c>
      <c r="H66" s="16" t="s">
        <v>143</v>
      </c>
      <c r="I66" s="16" t="s">
        <v>144</v>
      </c>
      <c r="J66" s="18" t="s">
        <v>101</v>
      </c>
      <c r="K66" s="17"/>
      <c r="L66" s="32" t="str">
        <f>"210,0"</f>
        <v>210,0</v>
      </c>
      <c r="M66" s="17" t="str">
        <f>"124,1100"</f>
        <v>124,1100</v>
      </c>
      <c r="N66" s="15" t="s">
        <v>59</v>
      </c>
    </row>
    <row r="67" spans="1:14" x14ac:dyDescent="0.2">
      <c r="A67" s="17" t="s">
        <v>186</v>
      </c>
      <c r="B67" s="15" t="s">
        <v>1760</v>
      </c>
      <c r="C67" s="15" t="s">
        <v>1761</v>
      </c>
      <c r="D67" s="15" t="s">
        <v>1762</v>
      </c>
      <c r="E67" s="15" t="str">
        <f>"0,5902"</f>
        <v>0,5902</v>
      </c>
      <c r="F67" s="15" t="s">
        <v>20</v>
      </c>
      <c r="G67" s="15" t="s">
        <v>69</v>
      </c>
      <c r="H67" s="18" t="s">
        <v>143</v>
      </c>
      <c r="I67" s="18" t="s">
        <v>223</v>
      </c>
      <c r="J67" s="18" t="s">
        <v>223</v>
      </c>
      <c r="K67" s="17"/>
      <c r="L67" s="32">
        <v>0</v>
      </c>
      <c r="M67" s="17" t="str">
        <f>"0,0000"</f>
        <v>0,0000</v>
      </c>
      <c r="N67" s="15" t="s">
        <v>1763</v>
      </c>
    </row>
    <row r="68" spans="1:14" x14ac:dyDescent="0.2">
      <c r="A68" s="21" t="s">
        <v>16</v>
      </c>
      <c r="B68" s="19" t="s">
        <v>330</v>
      </c>
      <c r="C68" s="19" t="s">
        <v>331</v>
      </c>
      <c r="D68" s="19" t="s">
        <v>332</v>
      </c>
      <c r="E68" s="19" t="str">
        <f>"0,5910"</f>
        <v>0,5910</v>
      </c>
      <c r="F68" s="19" t="s">
        <v>20</v>
      </c>
      <c r="G68" s="19" t="s">
        <v>279</v>
      </c>
      <c r="H68" s="20" t="s">
        <v>143</v>
      </c>
      <c r="I68" s="20" t="s">
        <v>144</v>
      </c>
      <c r="J68" s="22" t="s">
        <v>101</v>
      </c>
      <c r="K68" s="21"/>
      <c r="L68" s="29" t="str">
        <f>"210,0"</f>
        <v>210,0</v>
      </c>
      <c r="M68" s="21" t="str">
        <f>"129,5708"</f>
        <v>129,5708</v>
      </c>
      <c r="N68" s="19" t="s">
        <v>59</v>
      </c>
    </row>
    <row r="69" spans="1:14" x14ac:dyDescent="0.2">
      <c r="B69" s="5" t="s">
        <v>38</v>
      </c>
    </row>
    <row r="70" spans="1:14" ht="15" x14ac:dyDescent="0.2">
      <c r="A70" s="81" t="s">
        <v>333</v>
      </c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4" x14ac:dyDescent="0.2">
      <c r="A71" s="10" t="s">
        <v>16</v>
      </c>
      <c r="B71" s="7" t="s">
        <v>810</v>
      </c>
      <c r="C71" s="7" t="s">
        <v>811</v>
      </c>
      <c r="D71" s="7" t="s">
        <v>812</v>
      </c>
      <c r="E71" s="7" t="str">
        <f>"0,5793"</f>
        <v>0,5793</v>
      </c>
      <c r="F71" s="7" t="s">
        <v>552</v>
      </c>
      <c r="G71" s="7" t="s">
        <v>708</v>
      </c>
      <c r="H71" s="8" t="s">
        <v>101</v>
      </c>
      <c r="I71" s="8" t="s">
        <v>208</v>
      </c>
      <c r="J71" s="10"/>
      <c r="K71" s="10"/>
      <c r="L71" s="31" t="str">
        <f>"235,0"</f>
        <v>235,0</v>
      </c>
      <c r="M71" s="10" t="str">
        <f>"191,9511"</f>
        <v>191,9511</v>
      </c>
      <c r="N71" s="7" t="s">
        <v>59</v>
      </c>
    </row>
    <row r="72" spans="1:14" x14ac:dyDescent="0.2">
      <c r="B72" s="5" t="s">
        <v>38</v>
      </c>
    </row>
    <row r="73" spans="1:14" ht="15" x14ac:dyDescent="0.2">
      <c r="A73" s="81" t="s">
        <v>503</v>
      </c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4" x14ac:dyDescent="0.2">
      <c r="A74" s="10" t="s">
        <v>16</v>
      </c>
      <c r="B74" s="7" t="s">
        <v>1764</v>
      </c>
      <c r="C74" s="7" t="s">
        <v>1765</v>
      </c>
      <c r="D74" s="7" t="s">
        <v>1766</v>
      </c>
      <c r="E74" s="7" t="str">
        <f>"0,5616"</f>
        <v>0,5616</v>
      </c>
      <c r="F74" s="7" t="s">
        <v>20</v>
      </c>
      <c r="G74" s="7" t="s">
        <v>69</v>
      </c>
      <c r="H74" s="8" t="s">
        <v>175</v>
      </c>
      <c r="I74" s="8" t="s">
        <v>252</v>
      </c>
      <c r="J74" s="8" t="s">
        <v>302</v>
      </c>
      <c r="K74" s="10"/>
      <c r="L74" s="31" t="str">
        <f>"285,0"</f>
        <v>285,0</v>
      </c>
      <c r="M74" s="10" t="str">
        <f>"160,0560"</f>
        <v>160,0560</v>
      </c>
      <c r="N74" s="7" t="s">
        <v>1767</v>
      </c>
    </row>
    <row r="75" spans="1:14" x14ac:dyDescent="0.2">
      <c r="B75" s="5" t="s">
        <v>38</v>
      </c>
    </row>
    <row r="76" spans="1:14" ht="15" x14ac:dyDescent="0.2">
      <c r="A76" s="81" t="s">
        <v>511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4" x14ac:dyDescent="0.2">
      <c r="A77" s="10" t="s">
        <v>16</v>
      </c>
      <c r="B77" s="7" t="s">
        <v>1768</v>
      </c>
      <c r="C77" s="7" t="s">
        <v>1769</v>
      </c>
      <c r="D77" s="7" t="s">
        <v>1770</v>
      </c>
      <c r="E77" s="7" t="str">
        <f>"0,5475"</f>
        <v>0,5475</v>
      </c>
      <c r="F77" s="7" t="s">
        <v>20</v>
      </c>
      <c r="G77" s="7" t="s">
        <v>605</v>
      </c>
      <c r="H77" s="8" t="s">
        <v>259</v>
      </c>
      <c r="I77" s="8" t="s">
        <v>414</v>
      </c>
      <c r="J77" s="9" t="s">
        <v>449</v>
      </c>
      <c r="K77" s="10"/>
      <c r="L77" s="31" t="str">
        <f>"300,0"</f>
        <v>300,0</v>
      </c>
      <c r="M77" s="10" t="str">
        <f>"164,2500"</f>
        <v>164,2500</v>
      </c>
      <c r="N77" s="7" t="s">
        <v>59</v>
      </c>
    </row>
    <row r="78" spans="1:14" x14ac:dyDescent="0.2">
      <c r="B78" s="5" t="s">
        <v>38</v>
      </c>
    </row>
    <row r="79" spans="1:14" ht="15" x14ac:dyDescent="0.2">
      <c r="B79" s="5" t="s">
        <v>38</v>
      </c>
      <c r="F79" s="23"/>
    </row>
    <row r="80" spans="1:14" x14ac:dyDescent="0.2">
      <c r="B80" s="5" t="s">
        <v>38</v>
      </c>
    </row>
    <row r="81" spans="1:7" ht="18" x14ac:dyDescent="0.2">
      <c r="B81" s="24" t="s">
        <v>340</v>
      </c>
      <c r="C81" s="24"/>
      <c r="G81" s="3"/>
    </row>
    <row r="82" spans="1:7" ht="15" x14ac:dyDescent="0.2">
      <c r="B82" s="73" t="s">
        <v>519</v>
      </c>
      <c r="C82" s="73"/>
      <c r="G82" s="3"/>
    </row>
    <row r="83" spans="1:7" ht="14.25" x14ac:dyDescent="0.2">
      <c r="B83" s="25"/>
      <c r="C83" s="25" t="s">
        <v>358</v>
      </c>
      <c r="G83" s="3"/>
    </row>
    <row r="84" spans="1:7" ht="15" x14ac:dyDescent="0.2">
      <c r="B84" s="4" t="s">
        <v>343</v>
      </c>
      <c r="C84" s="4" t="s">
        <v>344</v>
      </c>
      <c r="D84" s="4" t="s">
        <v>345</v>
      </c>
      <c r="E84" s="4" t="s">
        <v>861</v>
      </c>
      <c r="F84" s="4" t="s">
        <v>347</v>
      </c>
      <c r="G84" s="3"/>
    </row>
    <row r="85" spans="1:7" x14ac:dyDescent="0.2">
      <c r="A85" s="67" t="s">
        <v>203</v>
      </c>
      <c r="B85" s="5" t="s">
        <v>1729</v>
      </c>
      <c r="C85" s="5" t="s">
        <v>358</v>
      </c>
      <c r="D85" s="6" t="s">
        <v>1771</v>
      </c>
      <c r="E85" s="6" t="s">
        <v>117</v>
      </c>
      <c r="F85" s="6" t="s">
        <v>1772</v>
      </c>
      <c r="G85" s="3"/>
    </row>
    <row r="86" spans="1:7" x14ac:dyDescent="0.2">
      <c r="B86" s="5" t="s">
        <v>17</v>
      </c>
      <c r="C86" s="5" t="s">
        <v>358</v>
      </c>
      <c r="D86" s="6" t="s">
        <v>1216</v>
      </c>
      <c r="E86" s="6" t="s">
        <v>30</v>
      </c>
      <c r="F86" s="6" t="s">
        <v>1773</v>
      </c>
      <c r="G86" s="3"/>
    </row>
    <row r="87" spans="1:7" x14ac:dyDescent="0.2">
      <c r="B87" s="5" t="s">
        <v>536</v>
      </c>
      <c r="C87" s="5" t="s">
        <v>358</v>
      </c>
      <c r="D87" s="6" t="s">
        <v>1774</v>
      </c>
      <c r="E87" s="6" t="s">
        <v>82</v>
      </c>
      <c r="F87" s="6" t="s">
        <v>1775</v>
      </c>
      <c r="G87" s="3"/>
    </row>
    <row r="88" spans="1:7" x14ac:dyDescent="0.2">
      <c r="G88" s="3"/>
    </row>
    <row r="89" spans="1:7" ht="15" x14ac:dyDescent="0.2">
      <c r="B89" s="73" t="s">
        <v>341</v>
      </c>
      <c r="C89" s="73"/>
      <c r="G89" s="3"/>
    </row>
    <row r="90" spans="1:7" ht="14.25" x14ac:dyDescent="0.2">
      <c r="B90" s="25"/>
      <c r="C90" s="25" t="s">
        <v>358</v>
      </c>
      <c r="G90" s="3"/>
    </row>
    <row r="91" spans="1:7" ht="15" x14ac:dyDescent="0.2">
      <c r="B91" s="4" t="s">
        <v>343</v>
      </c>
      <c r="C91" s="4" t="s">
        <v>344</v>
      </c>
      <c r="D91" s="4" t="s">
        <v>345</v>
      </c>
      <c r="E91" s="4" t="s">
        <v>861</v>
      </c>
      <c r="F91" s="4" t="s">
        <v>347</v>
      </c>
      <c r="G91" s="3"/>
    </row>
    <row r="92" spans="1:7" x14ac:dyDescent="0.2">
      <c r="B92" s="5" t="s">
        <v>218</v>
      </c>
      <c r="C92" s="5" t="s">
        <v>358</v>
      </c>
      <c r="D92" s="6" t="s">
        <v>355</v>
      </c>
      <c r="E92" s="6" t="s">
        <v>146</v>
      </c>
      <c r="F92" s="6" t="s">
        <v>1776</v>
      </c>
      <c r="G92" s="3"/>
    </row>
    <row r="93" spans="1:7" x14ac:dyDescent="0.2">
      <c r="A93" s="67" t="s">
        <v>203</v>
      </c>
      <c r="B93" s="5" t="s">
        <v>204</v>
      </c>
      <c r="C93" s="5" t="s">
        <v>358</v>
      </c>
      <c r="D93" s="6" t="s">
        <v>355</v>
      </c>
      <c r="E93" s="6" t="s">
        <v>174</v>
      </c>
      <c r="F93" s="6" t="s">
        <v>1777</v>
      </c>
      <c r="G93" s="3"/>
    </row>
    <row r="94" spans="1:7" x14ac:dyDescent="0.2">
      <c r="B94" s="5" t="s">
        <v>796</v>
      </c>
      <c r="C94" s="5" t="s">
        <v>358</v>
      </c>
      <c r="D94" s="6" t="s">
        <v>359</v>
      </c>
      <c r="E94" s="6" t="s">
        <v>252</v>
      </c>
      <c r="F94" s="6" t="s">
        <v>1778</v>
      </c>
      <c r="G94" s="3"/>
    </row>
    <row r="95" spans="1:7" x14ac:dyDescent="0.2">
      <c r="G95" s="3"/>
    </row>
    <row r="96" spans="1:7" ht="14.25" x14ac:dyDescent="0.2">
      <c r="B96" s="25"/>
      <c r="C96" s="25" t="s">
        <v>1229</v>
      </c>
      <c r="G96" s="3"/>
    </row>
    <row r="97" spans="2:7" ht="15" x14ac:dyDescent="0.2">
      <c r="B97" s="4" t="s">
        <v>343</v>
      </c>
      <c r="C97" s="4" t="s">
        <v>344</v>
      </c>
      <c r="D97" s="4" t="s">
        <v>345</v>
      </c>
      <c r="E97" s="4" t="s">
        <v>861</v>
      </c>
      <c r="F97" s="4" t="s">
        <v>347</v>
      </c>
      <c r="G97" s="3"/>
    </row>
    <row r="98" spans="2:7" x14ac:dyDescent="0.2">
      <c r="B98" s="5" t="s">
        <v>1747</v>
      </c>
      <c r="C98" s="5" t="s">
        <v>1779</v>
      </c>
      <c r="D98" s="6" t="s">
        <v>349</v>
      </c>
      <c r="E98" s="6" t="s">
        <v>109</v>
      </c>
      <c r="F98" s="6" t="s">
        <v>1780</v>
      </c>
      <c r="G98" s="3"/>
    </row>
    <row r="99" spans="2:7" x14ac:dyDescent="0.2">
      <c r="B99" s="5" t="s">
        <v>810</v>
      </c>
      <c r="C99" s="5" t="s">
        <v>1231</v>
      </c>
      <c r="D99" s="6" t="s">
        <v>749</v>
      </c>
      <c r="E99" s="6" t="s">
        <v>208</v>
      </c>
      <c r="F99" s="6" t="s">
        <v>1781</v>
      </c>
      <c r="G99" s="3"/>
    </row>
    <row r="100" spans="2:7" x14ac:dyDescent="0.2">
      <c r="B100" s="5" t="s">
        <v>1000</v>
      </c>
      <c r="C100" s="5" t="s">
        <v>1231</v>
      </c>
      <c r="D100" s="6" t="s">
        <v>349</v>
      </c>
      <c r="E100" s="6" t="s">
        <v>109</v>
      </c>
      <c r="F100" s="6" t="s">
        <v>1782</v>
      </c>
      <c r="G100" s="3"/>
    </row>
    <row r="101" spans="2:7" x14ac:dyDescent="0.2">
      <c r="B101" s="5" t="s">
        <v>38</v>
      </c>
    </row>
  </sheetData>
  <mergeCells count="27">
    <mergeCell ref="A76:M76"/>
    <mergeCell ref="B3:B4"/>
    <mergeCell ref="A42:M42"/>
    <mergeCell ref="A50:M50"/>
    <mergeCell ref="A60:M60"/>
    <mergeCell ref="A63:M63"/>
    <mergeCell ref="A70:M70"/>
    <mergeCell ref="A73:M73"/>
    <mergeCell ref="A20:M20"/>
    <mergeCell ref="A23:M23"/>
    <mergeCell ref="A26:M26"/>
    <mergeCell ref="A29:M29"/>
    <mergeCell ref="A35:M35"/>
    <mergeCell ref="L3:L4"/>
    <mergeCell ref="M3:M4"/>
    <mergeCell ref="N3:N4"/>
    <mergeCell ref="A5:M5"/>
    <mergeCell ref="A10:M10"/>
    <mergeCell ref="A15:M1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N74"/>
  <sheetViews>
    <sheetView workbookViewId="0">
      <selection sqref="A1:N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5.42578125" style="5" bestFit="1" customWidth="1"/>
    <col min="7" max="7" width="20.42578125" style="5" bestFit="1" customWidth="1"/>
    <col min="8" max="11" width="5.42578125" style="6" bestFit="1" customWidth="1"/>
    <col min="12" max="12" width="11.28515625" style="6" bestFit="1" customWidth="1"/>
    <col min="13" max="13" width="8.42578125" style="6" bestFit="1" customWidth="1"/>
    <col min="14" max="14" width="25.7109375" style="5" bestFit="1" customWidth="1"/>
    <col min="15" max="16384" width="9.140625" style="3"/>
  </cols>
  <sheetData>
    <row r="1" spans="1:14" s="2" customFormat="1" ht="29.1" customHeight="1" x14ac:dyDescent="0.2">
      <c r="A1" s="83" t="s">
        <v>1783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10</v>
      </c>
      <c r="I3" s="94"/>
      <c r="J3" s="94"/>
      <c r="K3" s="94"/>
      <c r="L3" s="94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3"/>
      <c r="M4" s="93"/>
      <c r="N4" s="78"/>
    </row>
    <row r="5" spans="1:14" ht="15" x14ac:dyDescent="0.2">
      <c r="A5" s="79" t="s">
        <v>753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0" t="s">
        <v>16</v>
      </c>
      <c r="B6" s="7" t="s">
        <v>1784</v>
      </c>
      <c r="C6" s="7" t="s">
        <v>1785</v>
      </c>
      <c r="D6" s="7" t="s">
        <v>926</v>
      </c>
      <c r="E6" s="7" t="str">
        <f>"1,1866"</f>
        <v>1,1866</v>
      </c>
      <c r="F6" s="7" t="s">
        <v>20</v>
      </c>
      <c r="G6" s="7" t="s">
        <v>87</v>
      </c>
      <c r="H6" s="8" t="s">
        <v>99</v>
      </c>
      <c r="I6" s="8" t="s">
        <v>137</v>
      </c>
      <c r="J6" s="9" t="s">
        <v>229</v>
      </c>
      <c r="K6" s="10"/>
      <c r="L6" s="10" t="str">
        <f>"175,0"</f>
        <v>175,0</v>
      </c>
      <c r="M6" s="10" t="str">
        <f>"207,6550"</f>
        <v>207,6550</v>
      </c>
      <c r="N6" s="7" t="s">
        <v>92</v>
      </c>
    </row>
    <row r="7" spans="1:14" x14ac:dyDescent="0.2">
      <c r="B7" s="5" t="s">
        <v>38</v>
      </c>
    </row>
    <row r="8" spans="1:14" ht="15" x14ac:dyDescent="0.2">
      <c r="A8" s="81" t="s">
        <v>73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x14ac:dyDescent="0.2">
      <c r="A9" s="14" t="s">
        <v>16</v>
      </c>
      <c r="B9" s="11" t="s">
        <v>1786</v>
      </c>
      <c r="C9" s="11" t="s">
        <v>1787</v>
      </c>
      <c r="D9" s="11" t="s">
        <v>1788</v>
      </c>
      <c r="E9" s="11" t="str">
        <f>"1,0385"</f>
        <v>1,0385</v>
      </c>
      <c r="F9" s="11" t="s">
        <v>96</v>
      </c>
      <c r="G9" s="11" t="s">
        <v>666</v>
      </c>
      <c r="H9" s="13" t="s">
        <v>83</v>
      </c>
      <c r="I9" s="13" t="s">
        <v>91</v>
      </c>
      <c r="J9" s="13" t="s">
        <v>322</v>
      </c>
      <c r="K9" s="14"/>
      <c r="L9" s="14" t="str">
        <f>"152,5"</f>
        <v>152,5</v>
      </c>
      <c r="M9" s="14" t="str">
        <f>"158,3712"</f>
        <v>158,3712</v>
      </c>
      <c r="N9" s="11" t="s">
        <v>1789</v>
      </c>
    </row>
    <row r="10" spans="1:14" x14ac:dyDescent="0.2">
      <c r="A10" s="21" t="s">
        <v>60</v>
      </c>
      <c r="B10" s="19" t="s">
        <v>1790</v>
      </c>
      <c r="C10" s="19" t="s">
        <v>1791</v>
      </c>
      <c r="D10" s="19" t="s">
        <v>1788</v>
      </c>
      <c r="E10" s="19" t="str">
        <f>"1,0385"</f>
        <v>1,0385</v>
      </c>
      <c r="F10" s="19" t="s">
        <v>20</v>
      </c>
      <c r="G10" s="19" t="s">
        <v>69</v>
      </c>
      <c r="H10" s="20" t="s">
        <v>58</v>
      </c>
      <c r="I10" s="20" t="s">
        <v>118</v>
      </c>
      <c r="J10" s="22" t="s">
        <v>136</v>
      </c>
      <c r="K10" s="21"/>
      <c r="L10" s="21" t="str">
        <f>"140,0"</f>
        <v>140,0</v>
      </c>
      <c r="M10" s="21" t="str">
        <f>"145,3900"</f>
        <v>145,3900</v>
      </c>
      <c r="N10" s="19" t="s">
        <v>1792</v>
      </c>
    </row>
    <row r="11" spans="1:14" x14ac:dyDescent="0.2">
      <c r="B11" s="5" t="s">
        <v>38</v>
      </c>
    </row>
    <row r="12" spans="1:14" ht="15" x14ac:dyDescent="0.2">
      <c r="A12" s="81" t="s">
        <v>192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4" x14ac:dyDescent="0.2">
      <c r="A13" s="10" t="s">
        <v>16</v>
      </c>
      <c r="B13" s="7" t="s">
        <v>1793</v>
      </c>
      <c r="C13" s="7" t="s">
        <v>1794</v>
      </c>
      <c r="D13" s="7" t="s">
        <v>1058</v>
      </c>
      <c r="E13" s="7" t="str">
        <f>"0,9088"</f>
        <v>0,9088</v>
      </c>
      <c r="F13" s="7" t="s">
        <v>1294</v>
      </c>
      <c r="G13" s="7" t="s">
        <v>1295</v>
      </c>
      <c r="H13" s="8" t="s">
        <v>137</v>
      </c>
      <c r="I13" s="8" t="s">
        <v>166</v>
      </c>
      <c r="J13" s="8" t="s">
        <v>124</v>
      </c>
      <c r="K13" s="10"/>
      <c r="L13" s="10" t="str">
        <f>"190,0"</f>
        <v>190,0</v>
      </c>
      <c r="M13" s="10" t="str">
        <f>"219,8115"</f>
        <v>219,8115</v>
      </c>
      <c r="N13" s="7" t="s">
        <v>1296</v>
      </c>
    </row>
    <row r="14" spans="1:14" x14ac:dyDescent="0.2">
      <c r="B14" s="5" t="s">
        <v>38</v>
      </c>
    </row>
    <row r="15" spans="1:14" ht="15" x14ac:dyDescent="0.2">
      <c r="A15" s="81" t="s">
        <v>394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14" x14ac:dyDescent="0.2">
      <c r="A16" s="10" t="s">
        <v>16</v>
      </c>
      <c r="B16" s="7" t="s">
        <v>1795</v>
      </c>
      <c r="C16" s="7" t="s">
        <v>1796</v>
      </c>
      <c r="D16" s="7" t="s">
        <v>1562</v>
      </c>
      <c r="E16" s="7" t="str">
        <f>"0,8377"</f>
        <v>0,8377</v>
      </c>
      <c r="F16" s="7" t="s">
        <v>1797</v>
      </c>
      <c r="G16" s="7" t="s">
        <v>1798</v>
      </c>
      <c r="H16" s="8" t="s">
        <v>137</v>
      </c>
      <c r="I16" s="9" t="s">
        <v>124</v>
      </c>
      <c r="J16" s="9" t="s">
        <v>124</v>
      </c>
      <c r="K16" s="9" t="s">
        <v>124</v>
      </c>
      <c r="L16" s="10" t="str">
        <f>"175,0"</f>
        <v>175,0</v>
      </c>
      <c r="M16" s="10" t="str">
        <f>"146,5975"</f>
        <v>146,5975</v>
      </c>
      <c r="N16" s="7" t="s">
        <v>1799</v>
      </c>
    </row>
    <row r="17" spans="1:14" x14ac:dyDescent="0.2">
      <c r="B17" s="5" t="s">
        <v>38</v>
      </c>
    </row>
    <row r="18" spans="1:14" ht="15" x14ac:dyDescent="0.2">
      <c r="A18" s="81" t="s">
        <v>131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4" x14ac:dyDescent="0.2">
      <c r="A19" s="14" t="s">
        <v>16</v>
      </c>
      <c r="B19" s="11" t="s">
        <v>1800</v>
      </c>
      <c r="C19" s="11" t="s">
        <v>1801</v>
      </c>
      <c r="D19" s="11" t="s">
        <v>1802</v>
      </c>
      <c r="E19" s="11" t="str">
        <f>"0,7414"</f>
        <v>0,7414</v>
      </c>
      <c r="F19" s="11" t="s">
        <v>20</v>
      </c>
      <c r="G19" s="11" t="s">
        <v>69</v>
      </c>
      <c r="H19" s="13" t="s">
        <v>223</v>
      </c>
      <c r="I19" s="13" t="s">
        <v>145</v>
      </c>
      <c r="J19" s="13" t="s">
        <v>482</v>
      </c>
      <c r="K19" s="14"/>
      <c r="L19" s="14" t="str">
        <f>"237,5"</f>
        <v>237,5</v>
      </c>
      <c r="M19" s="14" t="str">
        <f>"176,0825"</f>
        <v>176,0825</v>
      </c>
      <c r="N19" s="11" t="s">
        <v>1803</v>
      </c>
    </row>
    <row r="20" spans="1:14" x14ac:dyDescent="0.2">
      <c r="A20" s="17" t="s">
        <v>60</v>
      </c>
      <c r="B20" s="15" t="s">
        <v>179</v>
      </c>
      <c r="C20" s="15" t="s">
        <v>180</v>
      </c>
      <c r="D20" s="15" t="s">
        <v>181</v>
      </c>
      <c r="E20" s="15" t="str">
        <f>"0,7603"</f>
        <v>0,7603</v>
      </c>
      <c r="F20" s="15" t="s">
        <v>20</v>
      </c>
      <c r="G20" s="15" t="s">
        <v>129</v>
      </c>
      <c r="H20" s="16" t="s">
        <v>118</v>
      </c>
      <c r="I20" s="16" t="s">
        <v>125</v>
      </c>
      <c r="J20" s="16" t="s">
        <v>136</v>
      </c>
      <c r="K20" s="17"/>
      <c r="L20" s="17" t="str">
        <f>"150,0"</f>
        <v>150,0</v>
      </c>
      <c r="M20" s="17" t="str">
        <f>"114,0450"</f>
        <v>114,0450</v>
      </c>
      <c r="N20" s="15" t="s">
        <v>59</v>
      </c>
    </row>
    <row r="21" spans="1:14" x14ac:dyDescent="0.2">
      <c r="A21" s="21" t="s">
        <v>16</v>
      </c>
      <c r="B21" s="19" t="s">
        <v>1804</v>
      </c>
      <c r="C21" s="19" t="s">
        <v>1805</v>
      </c>
      <c r="D21" s="19" t="s">
        <v>164</v>
      </c>
      <c r="E21" s="19" t="str">
        <f>"0,7307"</f>
        <v>0,7307</v>
      </c>
      <c r="F21" s="19" t="s">
        <v>20</v>
      </c>
      <c r="G21" s="19" t="s">
        <v>69</v>
      </c>
      <c r="H21" s="20" t="s">
        <v>153</v>
      </c>
      <c r="I21" s="20" t="s">
        <v>174</v>
      </c>
      <c r="J21" s="20" t="s">
        <v>271</v>
      </c>
      <c r="K21" s="21"/>
      <c r="L21" s="21" t="str">
        <f>"252,5"</f>
        <v>252,5</v>
      </c>
      <c r="M21" s="21" t="str">
        <f>"198,8929"</f>
        <v>198,8929</v>
      </c>
      <c r="N21" s="19" t="s">
        <v>1806</v>
      </c>
    </row>
    <row r="22" spans="1:14" x14ac:dyDescent="0.2">
      <c r="B22" s="5" t="s">
        <v>38</v>
      </c>
    </row>
    <row r="23" spans="1:14" ht="15" x14ac:dyDescent="0.2">
      <c r="A23" s="81" t="s">
        <v>192</v>
      </c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4" x14ac:dyDescent="0.2">
      <c r="A24" s="14" t="s">
        <v>16</v>
      </c>
      <c r="B24" s="11" t="s">
        <v>1807</v>
      </c>
      <c r="C24" s="11" t="s">
        <v>1808</v>
      </c>
      <c r="D24" s="11" t="s">
        <v>1809</v>
      </c>
      <c r="E24" s="11" t="str">
        <f>"0,7005"</f>
        <v>0,7005</v>
      </c>
      <c r="F24" s="11" t="s">
        <v>20</v>
      </c>
      <c r="G24" s="11" t="s">
        <v>1810</v>
      </c>
      <c r="H24" s="12" t="s">
        <v>703</v>
      </c>
      <c r="I24" s="13" t="s">
        <v>703</v>
      </c>
      <c r="J24" s="12" t="s">
        <v>260</v>
      </c>
      <c r="K24" s="14"/>
      <c r="L24" s="14" t="str">
        <f>"292,5"</f>
        <v>292,5</v>
      </c>
      <c r="M24" s="14" t="str">
        <f>"204,8963"</f>
        <v>204,8963</v>
      </c>
      <c r="N24" s="11" t="s">
        <v>1811</v>
      </c>
    </row>
    <row r="25" spans="1:14" x14ac:dyDescent="0.2">
      <c r="A25" s="17" t="s">
        <v>16</v>
      </c>
      <c r="B25" s="15" t="s">
        <v>1807</v>
      </c>
      <c r="C25" s="15" t="s">
        <v>1812</v>
      </c>
      <c r="D25" s="15" t="s">
        <v>1809</v>
      </c>
      <c r="E25" s="15" t="str">
        <f>"0,7005"</f>
        <v>0,7005</v>
      </c>
      <c r="F25" s="15" t="s">
        <v>20</v>
      </c>
      <c r="G25" s="15" t="s">
        <v>1810</v>
      </c>
      <c r="H25" s="18" t="s">
        <v>703</v>
      </c>
      <c r="I25" s="16" t="s">
        <v>703</v>
      </c>
      <c r="J25" s="18" t="s">
        <v>260</v>
      </c>
      <c r="K25" s="17"/>
      <c r="L25" s="17" t="str">
        <f>"292,5"</f>
        <v>292,5</v>
      </c>
      <c r="M25" s="17" t="str">
        <f>"204,8963"</f>
        <v>204,8963</v>
      </c>
      <c r="N25" s="15" t="s">
        <v>1811</v>
      </c>
    </row>
    <row r="26" spans="1:14" x14ac:dyDescent="0.2">
      <c r="A26" s="17" t="s">
        <v>60</v>
      </c>
      <c r="B26" s="15" t="s">
        <v>827</v>
      </c>
      <c r="C26" s="15" t="s">
        <v>485</v>
      </c>
      <c r="D26" s="15" t="s">
        <v>828</v>
      </c>
      <c r="E26" s="15" t="str">
        <f>"0,6699"</f>
        <v>0,6699</v>
      </c>
      <c r="F26" s="15" t="s">
        <v>20</v>
      </c>
      <c r="G26" s="15" t="s">
        <v>1813</v>
      </c>
      <c r="H26" s="16" t="s">
        <v>259</v>
      </c>
      <c r="I26" s="18" t="s">
        <v>414</v>
      </c>
      <c r="J26" s="18" t="s">
        <v>414</v>
      </c>
      <c r="K26" s="17"/>
      <c r="L26" s="17" t="str">
        <f>"290,0"</f>
        <v>290,0</v>
      </c>
      <c r="M26" s="17" t="str">
        <f>"194,2710"</f>
        <v>194,2710</v>
      </c>
      <c r="N26" s="15" t="s">
        <v>59</v>
      </c>
    </row>
    <row r="27" spans="1:14" x14ac:dyDescent="0.2">
      <c r="A27" s="17" t="s">
        <v>65</v>
      </c>
      <c r="B27" s="15" t="s">
        <v>1814</v>
      </c>
      <c r="C27" s="15" t="s">
        <v>1815</v>
      </c>
      <c r="D27" s="15" t="s">
        <v>1816</v>
      </c>
      <c r="E27" s="15" t="str">
        <f>"0,6800"</f>
        <v>0,6800</v>
      </c>
      <c r="F27" s="15" t="s">
        <v>20</v>
      </c>
      <c r="G27" s="15" t="s">
        <v>401</v>
      </c>
      <c r="H27" s="18" t="s">
        <v>413</v>
      </c>
      <c r="I27" s="16" t="s">
        <v>413</v>
      </c>
      <c r="J27" s="18" t="s">
        <v>259</v>
      </c>
      <c r="K27" s="17"/>
      <c r="L27" s="17" t="str">
        <f>"280,0"</f>
        <v>280,0</v>
      </c>
      <c r="M27" s="17" t="str">
        <f>"190,4000"</f>
        <v>190,4000</v>
      </c>
      <c r="N27" s="15" t="s">
        <v>59</v>
      </c>
    </row>
    <row r="28" spans="1:14" x14ac:dyDescent="0.2">
      <c r="A28" s="17" t="s">
        <v>182</v>
      </c>
      <c r="B28" s="15" t="s">
        <v>420</v>
      </c>
      <c r="C28" s="15" t="s">
        <v>421</v>
      </c>
      <c r="D28" s="15" t="s">
        <v>391</v>
      </c>
      <c r="E28" s="15" t="str">
        <f>"0,6709"</f>
        <v>0,6709</v>
      </c>
      <c r="F28" s="15" t="s">
        <v>96</v>
      </c>
      <c r="G28" s="15" t="s">
        <v>666</v>
      </c>
      <c r="H28" s="16" t="s">
        <v>174</v>
      </c>
      <c r="I28" s="16" t="s">
        <v>175</v>
      </c>
      <c r="J28" s="16" t="s">
        <v>252</v>
      </c>
      <c r="K28" s="17"/>
      <c r="L28" s="17" t="str">
        <f>"270,0"</f>
        <v>270,0</v>
      </c>
      <c r="M28" s="17" t="str">
        <f>"181,1430"</f>
        <v>181,1430</v>
      </c>
      <c r="N28" s="15" t="s">
        <v>423</v>
      </c>
    </row>
    <row r="29" spans="1:14" x14ac:dyDescent="0.2">
      <c r="A29" s="17" t="s">
        <v>276</v>
      </c>
      <c r="B29" s="15" t="s">
        <v>1817</v>
      </c>
      <c r="C29" s="15" t="s">
        <v>1818</v>
      </c>
      <c r="D29" s="15" t="s">
        <v>226</v>
      </c>
      <c r="E29" s="15" t="str">
        <f>"0,6734"</f>
        <v>0,6734</v>
      </c>
      <c r="F29" s="15" t="s">
        <v>1294</v>
      </c>
      <c r="G29" s="15" t="s">
        <v>1819</v>
      </c>
      <c r="H29" s="16" t="s">
        <v>251</v>
      </c>
      <c r="I29" s="18" t="s">
        <v>155</v>
      </c>
      <c r="J29" s="18" t="s">
        <v>252</v>
      </c>
      <c r="K29" s="17"/>
      <c r="L29" s="17" t="str">
        <f>"260,0"</f>
        <v>260,0</v>
      </c>
      <c r="M29" s="17" t="str">
        <f>"175,0840"</f>
        <v>175,0840</v>
      </c>
      <c r="N29" s="15" t="s">
        <v>59</v>
      </c>
    </row>
    <row r="30" spans="1:14" x14ac:dyDescent="0.2">
      <c r="A30" s="21" t="s">
        <v>186</v>
      </c>
      <c r="B30" s="19" t="s">
        <v>829</v>
      </c>
      <c r="C30" s="19" t="s">
        <v>830</v>
      </c>
      <c r="D30" s="19" t="s">
        <v>831</v>
      </c>
      <c r="E30" s="19" t="str">
        <f>"0,6744"</f>
        <v>0,6744</v>
      </c>
      <c r="F30" s="19" t="s">
        <v>96</v>
      </c>
      <c r="G30" s="19" t="s">
        <v>666</v>
      </c>
      <c r="H30" s="22" t="s">
        <v>153</v>
      </c>
      <c r="I30" s="22" t="s">
        <v>153</v>
      </c>
      <c r="J30" s="22" t="s">
        <v>153</v>
      </c>
      <c r="K30" s="21"/>
      <c r="L30" s="21" t="str">
        <f>"0.00"</f>
        <v>0.00</v>
      </c>
      <c r="M30" s="21" t="str">
        <f>"0,0000"</f>
        <v>0,0000</v>
      </c>
      <c r="N30" s="19" t="s">
        <v>832</v>
      </c>
    </row>
    <row r="31" spans="1:14" x14ac:dyDescent="0.2">
      <c r="B31" s="5" t="s">
        <v>38</v>
      </c>
    </row>
    <row r="32" spans="1:14" ht="15" x14ac:dyDescent="0.2">
      <c r="A32" s="81" t="s">
        <v>246</v>
      </c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4" x14ac:dyDescent="0.2">
      <c r="A33" s="14" t="s">
        <v>16</v>
      </c>
      <c r="B33" s="11" t="s">
        <v>1820</v>
      </c>
      <c r="C33" s="11" t="s">
        <v>1821</v>
      </c>
      <c r="D33" s="11" t="s">
        <v>1822</v>
      </c>
      <c r="E33" s="11" t="str">
        <f>"0,6463"</f>
        <v>0,6463</v>
      </c>
      <c r="F33" s="11" t="s">
        <v>20</v>
      </c>
      <c r="G33" s="11" t="s">
        <v>69</v>
      </c>
      <c r="H33" s="13" t="s">
        <v>261</v>
      </c>
      <c r="I33" s="13" t="s">
        <v>678</v>
      </c>
      <c r="J33" s="13" t="s">
        <v>625</v>
      </c>
      <c r="K33" s="14"/>
      <c r="L33" s="14" t="str">
        <f>"340,0"</f>
        <v>340,0</v>
      </c>
      <c r="M33" s="14" t="str">
        <f>"219,7420"</f>
        <v>219,7420</v>
      </c>
      <c r="N33" s="11" t="s">
        <v>59</v>
      </c>
    </row>
    <row r="34" spans="1:14" x14ac:dyDescent="0.2">
      <c r="A34" s="17" t="s">
        <v>60</v>
      </c>
      <c r="B34" s="15" t="s">
        <v>833</v>
      </c>
      <c r="C34" s="15" t="s">
        <v>834</v>
      </c>
      <c r="D34" s="15" t="s">
        <v>835</v>
      </c>
      <c r="E34" s="15" t="str">
        <f>"0,6483"</f>
        <v>0,6483</v>
      </c>
      <c r="F34" s="15" t="s">
        <v>20</v>
      </c>
      <c r="G34" s="15" t="s">
        <v>69</v>
      </c>
      <c r="H34" s="16" t="s">
        <v>414</v>
      </c>
      <c r="I34" s="16" t="s">
        <v>667</v>
      </c>
      <c r="J34" s="18" t="s">
        <v>678</v>
      </c>
      <c r="K34" s="17"/>
      <c r="L34" s="17" t="str">
        <f>"322,5"</f>
        <v>322,5</v>
      </c>
      <c r="M34" s="17" t="str">
        <f>"209,0767"</f>
        <v>209,0767</v>
      </c>
      <c r="N34" s="15" t="s">
        <v>59</v>
      </c>
    </row>
    <row r="35" spans="1:14" x14ac:dyDescent="0.2">
      <c r="A35" s="17" t="s">
        <v>65</v>
      </c>
      <c r="B35" s="15" t="s">
        <v>1823</v>
      </c>
      <c r="C35" s="15" t="s">
        <v>1824</v>
      </c>
      <c r="D35" s="15" t="s">
        <v>1308</v>
      </c>
      <c r="E35" s="15" t="str">
        <f>"0,6384"</f>
        <v>0,6384</v>
      </c>
      <c r="F35" s="15" t="s">
        <v>20</v>
      </c>
      <c r="G35" s="15" t="s">
        <v>1825</v>
      </c>
      <c r="H35" s="16" t="s">
        <v>301</v>
      </c>
      <c r="I35" s="16" t="s">
        <v>414</v>
      </c>
      <c r="J35" s="18" t="s">
        <v>626</v>
      </c>
      <c r="K35" s="17"/>
      <c r="L35" s="17" t="str">
        <f>"300,0"</f>
        <v>300,0</v>
      </c>
      <c r="M35" s="17" t="str">
        <f>"191,5200"</f>
        <v>191,5200</v>
      </c>
      <c r="N35" s="15" t="s">
        <v>59</v>
      </c>
    </row>
    <row r="36" spans="1:14" x14ac:dyDescent="0.2">
      <c r="A36" s="17" t="s">
        <v>182</v>
      </c>
      <c r="B36" s="15" t="s">
        <v>436</v>
      </c>
      <c r="C36" s="15" t="s">
        <v>437</v>
      </c>
      <c r="D36" s="15" t="s">
        <v>438</v>
      </c>
      <c r="E36" s="15" t="str">
        <f>"0,6391"</f>
        <v>0,6391</v>
      </c>
      <c r="F36" s="15" t="s">
        <v>836</v>
      </c>
      <c r="G36" s="15" t="s">
        <v>439</v>
      </c>
      <c r="H36" s="16" t="s">
        <v>413</v>
      </c>
      <c r="I36" s="16" t="s">
        <v>440</v>
      </c>
      <c r="J36" s="18" t="s">
        <v>414</v>
      </c>
      <c r="K36" s="17"/>
      <c r="L36" s="17" t="str">
        <f>"295,0"</f>
        <v>295,0</v>
      </c>
      <c r="M36" s="17" t="str">
        <f>"188,5345"</f>
        <v>188,5345</v>
      </c>
      <c r="N36" s="15" t="s">
        <v>59</v>
      </c>
    </row>
    <row r="37" spans="1:14" x14ac:dyDescent="0.2">
      <c r="A37" s="21" t="s">
        <v>16</v>
      </c>
      <c r="B37" s="19" t="s">
        <v>653</v>
      </c>
      <c r="C37" s="19" t="s">
        <v>654</v>
      </c>
      <c r="D37" s="19" t="s">
        <v>655</v>
      </c>
      <c r="E37" s="19" t="str">
        <f>"0,6528"</f>
        <v>0,6528</v>
      </c>
      <c r="F37" s="19" t="s">
        <v>836</v>
      </c>
      <c r="G37" s="19" t="s">
        <v>656</v>
      </c>
      <c r="H37" s="20" t="s">
        <v>154</v>
      </c>
      <c r="I37" s="20" t="s">
        <v>155</v>
      </c>
      <c r="J37" s="20" t="s">
        <v>413</v>
      </c>
      <c r="K37" s="20" t="s">
        <v>259</v>
      </c>
      <c r="L37" s="21" t="str">
        <f>"280,0"</f>
        <v>280,0</v>
      </c>
      <c r="M37" s="21" t="str">
        <f>"216,9646"</f>
        <v>216,9646</v>
      </c>
      <c r="N37" s="19" t="s">
        <v>59</v>
      </c>
    </row>
    <row r="38" spans="1:14" x14ac:dyDescent="0.2">
      <c r="B38" s="5" t="s">
        <v>38</v>
      </c>
    </row>
    <row r="39" spans="1:14" ht="15" x14ac:dyDescent="0.2">
      <c r="A39" s="81" t="s">
        <v>295</v>
      </c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4" x14ac:dyDescent="0.2">
      <c r="A40" s="14" t="s">
        <v>16</v>
      </c>
      <c r="B40" s="11" t="s">
        <v>669</v>
      </c>
      <c r="C40" s="11" t="s">
        <v>670</v>
      </c>
      <c r="D40" s="11" t="s">
        <v>671</v>
      </c>
      <c r="E40" s="11" t="str">
        <f>"0,6121"</f>
        <v>0,6121</v>
      </c>
      <c r="F40" s="11" t="s">
        <v>672</v>
      </c>
      <c r="G40" s="11" t="s">
        <v>673</v>
      </c>
      <c r="H40" s="13" t="s">
        <v>499</v>
      </c>
      <c r="I40" s="12" t="s">
        <v>496</v>
      </c>
      <c r="J40" s="12" t="s">
        <v>496</v>
      </c>
      <c r="K40" s="14"/>
      <c r="L40" s="14" t="str">
        <f>"320,0"</f>
        <v>320,0</v>
      </c>
      <c r="M40" s="14" t="str">
        <f>"195,8720"</f>
        <v>195,8720</v>
      </c>
      <c r="N40" s="11" t="s">
        <v>59</v>
      </c>
    </row>
    <row r="41" spans="1:14" x14ac:dyDescent="0.2">
      <c r="A41" s="17" t="s">
        <v>60</v>
      </c>
      <c r="B41" s="15" t="s">
        <v>663</v>
      </c>
      <c r="C41" s="15" t="s">
        <v>664</v>
      </c>
      <c r="D41" s="15" t="s">
        <v>665</v>
      </c>
      <c r="E41" s="15" t="str">
        <f>"0,6139"</f>
        <v>0,6139</v>
      </c>
      <c r="F41" s="15" t="s">
        <v>96</v>
      </c>
      <c r="G41" s="15" t="s">
        <v>666</v>
      </c>
      <c r="H41" s="16" t="s">
        <v>261</v>
      </c>
      <c r="I41" s="18" t="s">
        <v>667</v>
      </c>
      <c r="J41" s="18" t="s">
        <v>525</v>
      </c>
      <c r="K41" s="17"/>
      <c r="L41" s="17" t="str">
        <f>"315,0"</f>
        <v>315,0</v>
      </c>
      <c r="M41" s="17" t="str">
        <f>"193,3785"</f>
        <v>193,3785</v>
      </c>
      <c r="N41" s="15" t="s">
        <v>668</v>
      </c>
    </row>
    <row r="42" spans="1:14" x14ac:dyDescent="0.2">
      <c r="A42" s="17" t="s">
        <v>65</v>
      </c>
      <c r="B42" s="15" t="s">
        <v>1826</v>
      </c>
      <c r="C42" s="15" t="s">
        <v>1827</v>
      </c>
      <c r="D42" s="15" t="s">
        <v>1365</v>
      </c>
      <c r="E42" s="15" t="str">
        <f>"0,6257"</f>
        <v>0,6257</v>
      </c>
      <c r="F42" s="15" t="s">
        <v>20</v>
      </c>
      <c r="G42" s="15" t="s">
        <v>69</v>
      </c>
      <c r="H42" s="16" t="s">
        <v>301</v>
      </c>
      <c r="I42" s="16" t="s">
        <v>302</v>
      </c>
      <c r="J42" s="18" t="s">
        <v>414</v>
      </c>
      <c r="K42" s="17"/>
      <c r="L42" s="17" t="str">
        <f>"285,0"</f>
        <v>285,0</v>
      </c>
      <c r="M42" s="17" t="str">
        <f>"178,3245"</f>
        <v>178,3245</v>
      </c>
      <c r="N42" s="15" t="s">
        <v>59</v>
      </c>
    </row>
    <row r="43" spans="1:14" x14ac:dyDescent="0.2">
      <c r="A43" s="17" t="s">
        <v>182</v>
      </c>
      <c r="B43" s="15" t="s">
        <v>1828</v>
      </c>
      <c r="C43" s="15" t="s">
        <v>1829</v>
      </c>
      <c r="D43" s="15" t="s">
        <v>1688</v>
      </c>
      <c r="E43" s="15" t="str">
        <f>"0,6328"</f>
        <v>0,6328</v>
      </c>
      <c r="F43" s="15" t="s">
        <v>20</v>
      </c>
      <c r="G43" s="15" t="s">
        <v>207</v>
      </c>
      <c r="H43" s="16" t="s">
        <v>155</v>
      </c>
      <c r="I43" s="16" t="s">
        <v>301</v>
      </c>
      <c r="J43" s="16" t="s">
        <v>702</v>
      </c>
      <c r="K43" s="17"/>
      <c r="L43" s="17" t="str">
        <f>"282,5"</f>
        <v>282,5</v>
      </c>
      <c r="M43" s="17" t="str">
        <f>"178,7660"</f>
        <v>178,7660</v>
      </c>
      <c r="N43" s="15" t="s">
        <v>1830</v>
      </c>
    </row>
    <row r="44" spans="1:14" x14ac:dyDescent="0.2">
      <c r="A44" s="17" t="s">
        <v>276</v>
      </c>
      <c r="B44" s="15" t="s">
        <v>688</v>
      </c>
      <c r="C44" s="15" t="s">
        <v>689</v>
      </c>
      <c r="D44" s="15" t="s">
        <v>690</v>
      </c>
      <c r="E44" s="15" t="str">
        <f>"0,6134"</f>
        <v>0,6134</v>
      </c>
      <c r="F44" s="15" t="s">
        <v>20</v>
      </c>
      <c r="G44" s="15" t="s">
        <v>579</v>
      </c>
      <c r="H44" s="18" t="s">
        <v>251</v>
      </c>
      <c r="I44" s="18" t="s">
        <v>301</v>
      </c>
      <c r="J44" s="16" t="s">
        <v>301</v>
      </c>
      <c r="K44" s="17"/>
      <c r="L44" s="17" t="str">
        <f>"275,0"</f>
        <v>275,0</v>
      </c>
      <c r="M44" s="17" t="str">
        <f>"168,6850"</f>
        <v>168,6850</v>
      </c>
      <c r="N44" s="15" t="s">
        <v>59</v>
      </c>
    </row>
    <row r="45" spans="1:14" x14ac:dyDescent="0.2">
      <c r="A45" s="17" t="s">
        <v>281</v>
      </c>
      <c r="B45" s="15" t="s">
        <v>1831</v>
      </c>
      <c r="C45" s="15" t="s">
        <v>1832</v>
      </c>
      <c r="D45" s="15" t="s">
        <v>1833</v>
      </c>
      <c r="E45" s="15" t="str">
        <f>"0,6356"</f>
        <v>0,6356</v>
      </c>
      <c r="F45" s="15" t="s">
        <v>20</v>
      </c>
      <c r="G45" s="15" t="s">
        <v>21</v>
      </c>
      <c r="H45" s="16" t="s">
        <v>153</v>
      </c>
      <c r="I45" s="16" t="s">
        <v>313</v>
      </c>
      <c r="J45" s="18" t="s">
        <v>146</v>
      </c>
      <c r="K45" s="17"/>
      <c r="L45" s="17" t="str">
        <f>"242,5"</f>
        <v>242,5</v>
      </c>
      <c r="M45" s="17" t="str">
        <f>"154,1330"</f>
        <v>154,1330</v>
      </c>
      <c r="N45" s="15" t="s">
        <v>1767</v>
      </c>
    </row>
    <row r="46" spans="1:14" x14ac:dyDescent="0.2">
      <c r="A46" s="21" t="s">
        <v>16</v>
      </c>
      <c r="B46" s="19" t="s">
        <v>1834</v>
      </c>
      <c r="C46" s="19" t="s">
        <v>1835</v>
      </c>
      <c r="D46" s="19" t="s">
        <v>1566</v>
      </c>
      <c r="E46" s="19" t="str">
        <f>"0,6352"</f>
        <v>0,6352</v>
      </c>
      <c r="F46" s="19" t="s">
        <v>836</v>
      </c>
      <c r="G46" s="19" t="s">
        <v>1836</v>
      </c>
      <c r="H46" s="20" t="s">
        <v>144</v>
      </c>
      <c r="I46" s="20" t="s">
        <v>153</v>
      </c>
      <c r="J46" s="20" t="s">
        <v>174</v>
      </c>
      <c r="K46" s="21"/>
      <c r="L46" s="21" t="str">
        <f>"245,0"</f>
        <v>245,0</v>
      </c>
      <c r="M46" s="21" t="str">
        <f>"248,5315"</f>
        <v>248,5315</v>
      </c>
      <c r="N46" s="19" t="s">
        <v>59</v>
      </c>
    </row>
    <row r="47" spans="1:14" x14ac:dyDescent="0.2">
      <c r="B47" s="5" t="s">
        <v>38</v>
      </c>
    </row>
    <row r="48" spans="1:14" ht="15" x14ac:dyDescent="0.2">
      <c r="A48" s="81" t="s">
        <v>323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14" x14ac:dyDescent="0.2">
      <c r="A49" s="14" t="s">
        <v>16</v>
      </c>
      <c r="B49" s="11" t="s">
        <v>1837</v>
      </c>
      <c r="C49" s="11" t="s">
        <v>1838</v>
      </c>
      <c r="D49" s="11" t="s">
        <v>1839</v>
      </c>
      <c r="E49" s="11" t="str">
        <f>"0,5978"</f>
        <v>0,5978</v>
      </c>
      <c r="F49" s="11" t="s">
        <v>20</v>
      </c>
      <c r="G49" s="11" t="s">
        <v>1289</v>
      </c>
      <c r="H49" s="13" t="s">
        <v>1605</v>
      </c>
      <c r="I49" s="12" t="s">
        <v>516</v>
      </c>
      <c r="J49" s="13" t="s">
        <v>516</v>
      </c>
      <c r="K49" s="14"/>
      <c r="L49" s="14" t="str">
        <f>"360,0"</f>
        <v>360,0</v>
      </c>
      <c r="M49" s="14" t="str">
        <f>"215,2080"</f>
        <v>215,2080</v>
      </c>
      <c r="N49" s="11" t="s">
        <v>59</v>
      </c>
    </row>
    <row r="50" spans="1:14" x14ac:dyDescent="0.2">
      <c r="A50" s="17" t="s">
        <v>60</v>
      </c>
      <c r="B50" s="15" t="s">
        <v>330</v>
      </c>
      <c r="C50" s="15" t="s">
        <v>597</v>
      </c>
      <c r="D50" s="15" t="s">
        <v>332</v>
      </c>
      <c r="E50" s="15" t="str">
        <f>"0,5910"</f>
        <v>0,5910</v>
      </c>
      <c r="F50" s="15" t="s">
        <v>20</v>
      </c>
      <c r="G50" s="15" t="s">
        <v>279</v>
      </c>
      <c r="H50" s="16" t="s">
        <v>143</v>
      </c>
      <c r="I50" s="16" t="s">
        <v>144</v>
      </c>
      <c r="J50" s="18" t="s">
        <v>101</v>
      </c>
      <c r="K50" s="17"/>
      <c r="L50" s="17" t="str">
        <f>"210,0"</f>
        <v>210,0</v>
      </c>
      <c r="M50" s="17" t="str">
        <f>"124,1100"</f>
        <v>124,1100</v>
      </c>
      <c r="N50" s="15" t="s">
        <v>59</v>
      </c>
    </row>
    <row r="51" spans="1:14" x14ac:dyDescent="0.2">
      <c r="A51" s="17" t="s">
        <v>16</v>
      </c>
      <c r="B51" s="15" t="s">
        <v>1840</v>
      </c>
      <c r="C51" s="15" t="s">
        <v>1279</v>
      </c>
      <c r="D51" s="15" t="s">
        <v>802</v>
      </c>
      <c r="E51" s="15" t="str">
        <f>"0,5964"</f>
        <v>0,5964</v>
      </c>
      <c r="F51" s="15" t="s">
        <v>171</v>
      </c>
      <c r="G51" s="15" t="s">
        <v>1583</v>
      </c>
      <c r="H51" s="16" t="s">
        <v>100</v>
      </c>
      <c r="I51" s="16" t="s">
        <v>223</v>
      </c>
      <c r="J51" s="16" t="s">
        <v>161</v>
      </c>
      <c r="K51" s="17"/>
      <c r="L51" s="17" t="str">
        <f>"222,5"</f>
        <v>222,5</v>
      </c>
      <c r="M51" s="17" t="str">
        <f>"143,0495"</f>
        <v>143,0495</v>
      </c>
      <c r="N51" s="15" t="s">
        <v>1841</v>
      </c>
    </row>
    <row r="52" spans="1:14" x14ac:dyDescent="0.2">
      <c r="A52" s="21" t="s">
        <v>60</v>
      </c>
      <c r="B52" s="19" t="s">
        <v>330</v>
      </c>
      <c r="C52" s="19" t="s">
        <v>331</v>
      </c>
      <c r="D52" s="19" t="s">
        <v>332</v>
      </c>
      <c r="E52" s="19" t="str">
        <f>"0,5910"</f>
        <v>0,5910</v>
      </c>
      <c r="F52" s="19" t="s">
        <v>20</v>
      </c>
      <c r="G52" s="19" t="s">
        <v>279</v>
      </c>
      <c r="H52" s="20" t="s">
        <v>143</v>
      </c>
      <c r="I52" s="20" t="s">
        <v>144</v>
      </c>
      <c r="J52" s="22" t="s">
        <v>101</v>
      </c>
      <c r="K52" s="21"/>
      <c r="L52" s="21" t="str">
        <f>"210,0"</f>
        <v>210,0</v>
      </c>
      <c r="M52" s="21" t="str">
        <f>"129,5708"</f>
        <v>129,5708</v>
      </c>
      <c r="N52" s="19" t="s">
        <v>59</v>
      </c>
    </row>
    <row r="53" spans="1:14" x14ac:dyDescent="0.2">
      <c r="B53" s="5" t="s">
        <v>38</v>
      </c>
    </row>
    <row r="54" spans="1:14" ht="15" x14ac:dyDescent="0.2">
      <c r="A54" s="81" t="s">
        <v>333</v>
      </c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4" x14ac:dyDescent="0.2">
      <c r="A55" s="14" t="s">
        <v>16</v>
      </c>
      <c r="B55" s="11" t="s">
        <v>1842</v>
      </c>
      <c r="C55" s="11" t="s">
        <v>1843</v>
      </c>
      <c r="D55" s="11" t="s">
        <v>1844</v>
      </c>
      <c r="E55" s="11" t="str">
        <f>"0,5805"</f>
        <v>0,5805</v>
      </c>
      <c r="F55" s="11" t="s">
        <v>20</v>
      </c>
      <c r="G55" s="11" t="s">
        <v>1845</v>
      </c>
      <c r="H55" s="13" t="s">
        <v>1846</v>
      </c>
      <c r="I55" s="13" t="s">
        <v>712</v>
      </c>
      <c r="J55" s="12" t="s">
        <v>1847</v>
      </c>
      <c r="K55" s="14"/>
      <c r="L55" s="14" t="str">
        <f>"380,0"</f>
        <v>380,0</v>
      </c>
      <c r="M55" s="14" t="str">
        <f>"220,5900"</f>
        <v>220,5900</v>
      </c>
      <c r="N55" s="11" t="s">
        <v>59</v>
      </c>
    </row>
    <row r="56" spans="1:14" x14ac:dyDescent="0.2">
      <c r="A56" s="17" t="s">
        <v>60</v>
      </c>
      <c r="B56" s="15" t="s">
        <v>1848</v>
      </c>
      <c r="C56" s="15" t="s">
        <v>1849</v>
      </c>
      <c r="D56" s="15" t="s">
        <v>1419</v>
      </c>
      <c r="E56" s="15" t="str">
        <f>"0,5723"</f>
        <v>0,5723</v>
      </c>
      <c r="F56" s="15" t="s">
        <v>20</v>
      </c>
      <c r="G56" s="15" t="s">
        <v>1207</v>
      </c>
      <c r="H56" s="16" t="s">
        <v>499</v>
      </c>
      <c r="I56" s="16" t="s">
        <v>678</v>
      </c>
      <c r="J56" s="16" t="s">
        <v>1850</v>
      </c>
      <c r="K56" s="17"/>
      <c r="L56" s="17" t="str">
        <f>"345,0"</f>
        <v>345,0</v>
      </c>
      <c r="M56" s="17" t="str">
        <f>"197,4435"</f>
        <v>197,4435</v>
      </c>
      <c r="N56" s="15" t="s">
        <v>1851</v>
      </c>
    </row>
    <row r="57" spans="1:14" x14ac:dyDescent="0.2">
      <c r="A57" s="21" t="s">
        <v>16</v>
      </c>
      <c r="B57" s="19" t="s">
        <v>724</v>
      </c>
      <c r="C57" s="19" t="s">
        <v>725</v>
      </c>
      <c r="D57" s="19" t="s">
        <v>726</v>
      </c>
      <c r="E57" s="19" t="str">
        <f>"0,5738"</f>
        <v>0,5738</v>
      </c>
      <c r="F57" s="19" t="s">
        <v>20</v>
      </c>
      <c r="G57" s="19" t="s">
        <v>727</v>
      </c>
      <c r="H57" s="20" t="s">
        <v>251</v>
      </c>
      <c r="I57" s="20" t="s">
        <v>252</v>
      </c>
      <c r="J57" s="20" t="s">
        <v>413</v>
      </c>
      <c r="K57" s="21"/>
      <c r="L57" s="21" t="str">
        <f>"280,0"</f>
        <v>280,0</v>
      </c>
      <c r="M57" s="21" t="str">
        <f>"173,1958"</f>
        <v>173,1958</v>
      </c>
      <c r="N57" s="19" t="s">
        <v>59</v>
      </c>
    </row>
    <row r="58" spans="1:14" x14ac:dyDescent="0.2">
      <c r="B58" s="5" t="s">
        <v>38</v>
      </c>
    </row>
    <row r="59" spans="1:14" ht="15" x14ac:dyDescent="0.2">
      <c r="A59" s="81" t="s">
        <v>503</v>
      </c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4" x14ac:dyDescent="0.2">
      <c r="A60" s="10" t="s">
        <v>16</v>
      </c>
      <c r="B60" s="7" t="s">
        <v>504</v>
      </c>
      <c r="C60" s="7" t="s">
        <v>505</v>
      </c>
      <c r="D60" s="7" t="s">
        <v>506</v>
      </c>
      <c r="E60" s="7" t="str">
        <f>"0,5668"</f>
        <v>0,5668</v>
      </c>
      <c r="F60" s="7" t="s">
        <v>20</v>
      </c>
      <c r="G60" s="7" t="s">
        <v>279</v>
      </c>
      <c r="H60" s="8" t="s">
        <v>261</v>
      </c>
      <c r="I60" s="9" t="s">
        <v>496</v>
      </c>
      <c r="J60" s="9" t="s">
        <v>496</v>
      </c>
      <c r="K60" s="10"/>
      <c r="L60" s="10" t="str">
        <f>"315,0"</f>
        <v>315,0</v>
      </c>
      <c r="M60" s="10" t="str">
        <f>"178,5420"</f>
        <v>178,5420</v>
      </c>
      <c r="N60" s="7" t="s">
        <v>59</v>
      </c>
    </row>
    <row r="61" spans="1:14" x14ac:dyDescent="0.2">
      <c r="B61" s="5" t="s">
        <v>38</v>
      </c>
    </row>
    <row r="62" spans="1:14" ht="15" x14ac:dyDescent="0.2">
      <c r="A62" s="81" t="s">
        <v>511</v>
      </c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4" x14ac:dyDescent="0.2">
      <c r="A63" s="14" t="s">
        <v>16</v>
      </c>
      <c r="B63" s="11" t="s">
        <v>1852</v>
      </c>
      <c r="C63" s="11" t="s">
        <v>1853</v>
      </c>
      <c r="D63" s="11" t="s">
        <v>1854</v>
      </c>
      <c r="E63" s="11" t="str">
        <f>"0,5580"</f>
        <v>0,5580</v>
      </c>
      <c r="F63" s="11" t="s">
        <v>20</v>
      </c>
      <c r="G63" s="11" t="s">
        <v>1855</v>
      </c>
      <c r="H63" s="13" t="s">
        <v>440</v>
      </c>
      <c r="I63" s="13" t="s">
        <v>1856</v>
      </c>
      <c r="J63" s="13" t="s">
        <v>449</v>
      </c>
      <c r="K63" s="14"/>
      <c r="L63" s="14" t="str">
        <f>"310,0"</f>
        <v>310,0</v>
      </c>
      <c r="M63" s="14" t="str">
        <f>"172,9800"</f>
        <v>172,9800</v>
      </c>
      <c r="N63" s="11" t="s">
        <v>59</v>
      </c>
    </row>
    <row r="64" spans="1:14" x14ac:dyDescent="0.2">
      <c r="A64" s="21" t="s">
        <v>16</v>
      </c>
      <c r="B64" s="19" t="s">
        <v>1852</v>
      </c>
      <c r="C64" s="19" t="s">
        <v>1857</v>
      </c>
      <c r="D64" s="19" t="s">
        <v>1854</v>
      </c>
      <c r="E64" s="19" t="str">
        <f>"0,5580"</f>
        <v>0,5580</v>
      </c>
      <c r="F64" s="19" t="s">
        <v>20</v>
      </c>
      <c r="G64" s="19" t="s">
        <v>1855</v>
      </c>
      <c r="H64" s="20" t="s">
        <v>440</v>
      </c>
      <c r="I64" s="20" t="s">
        <v>1856</v>
      </c>
      <c r="J64" s="20" t="s">
        <v>449</v>
      </c>
      <c r="K64" s="21"/>
      <c r="L64" s="21" t="str">
        <f>"310,0"</f>
        <v>310,0</v>
      </c>
      <c r="M64" s="21" t="str">
        <f>"183,3588"</f>
        <v>183,3588</v>
      </c>
      <c r="N64" s="19" t="s">
        <v>59</v>
      </c>
    </row>
    <row r="65" spans="2:7" x14ac:dyDescent="0.2">
      <c r="B65" s="5" t="s">
        <v>38</v>
      </c>
    </row>
    <row r="66" spans="2:7" ht="15" x14ac:dyDescent="0.2">
      <c r="B66" s="5" t="s">
        <v>38</v>
      </c>
      <c r="F66" s="23"/>
    </row>
    <row r="67" spans="2:7" x14ac:dyDescent="0.2">
      <c r="B67" s="5" t="s">
        <v>38</v>
      </c>
    </row>
    <row r="68" spans="2:7" ht="18" x14ac:dyDescent="0.2">
      <c r="B68" s="24" t="s">
        <v>340</v>
      </c>
      <c r="C68" s="24"/>
      <c r="G68" s="3"/>
    </row>
    <row r="69" spans="2:7" ht="15" x14ac:dyDescent="0.2">
      <c r="B69" s="73" t="s">
        <v>341</v>
      </c>
      <c r="C69" s="73"/>
      <c r="G69" s="3"/>
    </row>
    <row r="70" spans="2:7" ht="14.25" x14ac:dyDescent="0.2">
      <c r="B70" s="25"/>
      <c r="C70" s="25" t="s">
        <v>358</v>
      </c>
      <c r="G70" s="3"/>
    </row>
    <row r="71" spans="2:7" ht="15" x14ac:dyDescent="0.2">
      <c r="B71" s="4" t="s">
        <v>343</v>
      </c>
      <c r="C71" s="4" t="s">
        <v>344</v>
      </c>
      <c r="D71" s="4" t="s">
        <v>345</v>
      </c>
      <c r="E71" s="4" t="s">
        <v>861</v>
      </c>
      <c r="F71" s="4" t="s">
        <v>347</v>
      </c>
      <c r="G71" s="3"/>
    </row>
    <row r="72" spans="2:7" x14ac:dyDescent="0.2">
      <c r="B72" s="5" t="s">
        <v>1842</v>
      </c>
      <c r="C72" s="5" t="s">
        <v>358</v>
      </c>
      <c r="D72" s="6" t="s">
        <v>749</v>
      </c>
      <c r="E72" s="6" t="s">
        <v>712</v>
      </c>
      <c r="F72" s="6" t="s">
        <v>1858</v>
      </c>
      <c r="G72" s="3"/>
    </row>
    <row r="73" spans="2:7" x14ac:dyDescent="0.2">
      <c r="B73" s="5" t="s">
        <v>1820</v>
      </c>
      <c r="C73" s="5" t="s">
        <v>358</v>
      </c>
      <c r="D73" s="6" t="s">
        <v>352</v>
      </c>
      <c r="E73" s="6" t="s">
        <v>625</v>
      </c>
      <c r="F73" s="6" t="s">
        <v>1859</v>
      </c>
      <c r="G73" s="3"/>
    </row>
    <row r="74" spans="2:7" x14ac:dyDescent="0.2">
      <c r="B74" s="5" t="s">
        <v>1837</v>
      </c>
      <c r="C74" s="5" t="s">
        <v>358</v>
      </c>
      <c r="D74" s="6" t="s">
        <v>813</v>
      </c>
      <c r="E74" s="6" t="s">
        <v>516</v>
      </c>
      <c r="F74" s="6" t="s">
        <v>1860</v>
      </c>
      <c r="G74" s="3"/>
    </row>
  </sheetData>
  <mergeCells count="24">
    <mergeCell ref="A54:M54"/>
    <mergeCell ref="A59:M59"/>
    <mergeCell ref="A62:M62"/>
    <mergeCell ref="B3:B4"/>
    <mergeCell ref="A15:M15"/>
    <mergeCell ref="A18:M18"/>
    <mergeCell ref="A23:M23"/>
    <mergeCell ref="A32:M32"/>
    <mergeCell ref="A39:M39"/>
    <mergeCell ref="A48:M48"/>
    <mergeCell ref="L3:L4"/>
    <mergeCell ref="M3:M4"/>
    <mergeCell ref="N3:N4"/>
    <mergeCell ref="A5:M5"/>
    <mergeCell ref="A8:M8"/>
    <mergeCell ref="A12:M12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N13"/>
  <sheetViews>
    <sheetView workbookViewId="0">
      <selection sqref="A1:N2"/>
    </sheetView>
  </sheetViews>
  <sheetFormatPr defaultColWidth="9.140625" defaultRowHeight="12.75" x14ac:dyDescent="0.2"/>
  <cols>
    <col min="1" max="1" width="7.42578125" style="6" bestFit="1" customWidth="1"/>
    <col min="2" max="2" width="19.28515625" style="5" bestFit="1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18.140625" style="5" bestFit="1" customWidth="1"/>
    <col min="8" max="10" width="5.42578125" style="6" bestFit="1" customWidth="1"/>
    <col min="11" max="11" width="4.85546875" style="6" bestFit="1" customWidth="1"/>
    <col min="12" max="12" width="11.28515625" style="6" bestFit="1" customWidth="1"/>
    <col min="13" max="13" width="8.42578125" style="6" bestFit="1" customWidth="1"/>
    <col min="14" max="14" width="21.85546875" style="5" customWidth="1"/>
    <col min="15" max="16384" width="9.140625" style="3"/>
  </cols>
  <sheetData>
    <row r="1" spans="1:14" s="2" customFormat="1" ht="29.1" customHeight="1" x14ac:dyDescent="0.2">
      <c r="A1" s="83" t="s">
        <v>1861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10</v>
      </c>
      <c r="I3" s="94"/>
      <c r="J3" s="94"/>
      <c r="K3" s="94"/>
      <c r="L3" s="94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3"/>
      <c r="M4" s="93"/>
      <c r="N4" s="78"/>
    </row>
    <row r="5" spans="1:14" ht="15" x14ac:dyDescent="0.2">
      <c r="A5" s="79" t="s">
        <v>131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0" t="s">
        <v>16</v>
      </c>
      <c r="B6" s="7" t="s">
        <v>1862</v>
      </c>
      <c r="C6" s="7" t="s">
        <v>1863</v>
      </c>
      <c r="D6" s="7" t="s">
        <v>1864</v>
      </c>
      <c r="E6" s="7" t="str">
        <f>"0,9734"</f>
        <v>0,9734</v>
      </c>
      <c r="F6" s="7" t="s">
        <v>20</v>
      </c>
      <c r="G6" s="7" t="s">
        <v>87</v>
      </c>
      <c r="H6" s="8" t="s">
        <v>160</v>
      </c>
      <c r="I6" s="8" t="s">
        <v>100</v>
      </c>
      <c r="J6" s="9" t="s">
        <v>144</v>
      </c>
      <c r="K6" s="10"/>
      <c r="L6" s="10" t="str">
        <f>"205,0"</f>
        <v>205,0</v>
      </c>
      <c r="M6" s="10" t="str">
        <f>"199,5470"</f>
        <v>199,5470</v>
      </c>
      <c r="N6" s="7" t="s">
        <v>92</v>
      </c>
    </row>
    <row r="7" spans="1:14" x14ac:dyDescent="0.2">
      <c r="B7" s="5" t="s">
        <v>38</v>
      </c>
    </row>
    <row r="8" spans="1:14" ht="15" x14ac:dyDescent="0.2">
      <c r="A8" s="81" t="s">
        <v>192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x14ac:dyDescent="0.2">
      <c r="A9" s="10" t="s">
        <v>16</v>
      </c>
      <c r="B9" s="7" t="s">
        <v>1793</v>
      </c>
      <c r="C9" s="7" t="s">
        <v>1865</v>
      </c>
      <c r="D9" s="7" t="s">
        <v>1058</v>
      </c>
      <c r="E9" s="7" t="str">
        <f>"0,9088"</f>
        <v>0,9088</v>
      </c>
      <c r="F9" s="7" t="s">
        <v>1294</v>
      </c>
      <c r="G9" s="7" t="s">
        <v>1295</v>
      </c>
      <c r="H9" s="8" t="s">
        <v>137</v>
      </c>
      <c r="I9" s="8" t="s">
        <v>166</v>
      </c>
      <c r="J9" s="8" t="s">
        <v>124</v>
      </c>
      <c r="K9" s="10"/>
      <c r="L9" s="10" t="str">
        <f>"190,0"</f>
        <v>190,0</v>
      </c>
      <c r="M9" s="10" t="str">
        <f>"172,6720"</f>
        <v>172,6720</v>
      </c>
      <c r="N9" s="7" t="s">
        <v>1296</v>
      </c>
    </row>
    <row r="10" spans="1:14" x14ac:dyDescent="0.2">
      <c r="B10" s="5" t="s">
        <v>38</v>
      </c>
    </row>
    <row r="11" spans="1:14" ht="15" x14ac:dyDescent="0.2">
      <c r="A11" s="81" t="s">
        <v>323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4" x14ac:dyDescent="0.2">
      <c r="A12" s="10" t="s">
        <v>16</v>
      </c>
      <c r="B12" s="7" t="s">
        <v>1866</v>
      </c>
      <c r="C12" s="7" t="s">
        <v>1867</v>
      </c>
      <c r="D12" s="7" t="s">
        <v>1868</v>
      </c>
      <c r="E12" s="7" t="str">
        <f>"0,5962"</f>
        <v>0,5962</v>
      </c>
      <c r="F12" s="7" t="s">
        <v>1869</v>
      </c>
      <c r="G12" s="7" t="s">
        <v>300</v>
      </c>
      <c r="H12" s="8" t="s">
        <v>625</v>
      </c>
      <c r="I12" s="9" t="s">
        <v>516</v>
      </c>
      <c r="J12" s="9" t="s">
        <v>516</v>
      </c>
      <c r="K12" s="10"/>
      <c r="L12" s="10" t="str">
        <f>"340,0"</f>
        <v>340,0</v>
      </c>
      <c r="M12" s="10" t="str">
        <f>"202,7080"</f>
        <v>202,7080</v>
      </c>
      <c r="N12" s="7" t="s">
        <v>1870</v>
      </c>
    </row>
    <row r="13" spans="1:14" x14ac:dyDescent="0.2">
      <c r="B13" s="5" t="s">
        <v>38</v>
      </c>
    </row>
  </sheetData>
  <mergeCells count="15">
    <mergeCell ref="A11:M11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8:M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N58"/>
  <sheetViews>
    <sheetView workbookViewId="0">
      <selection sqref="A1:N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23.140625" style="5" bestFit="1" customWidth="1"/>
    <col min="7" max="7" width="20.42578125" style="5" bestFit="1" customWidth="1"/>
    <col min="8" max="8" width="4.42578125" style="6" bestFit="1" customWidth="1"/>
    <col min="9" max="11" width="5.42578125" style="6" bestFit="1" customWidth="1"/>
    <col min="12" max="12" width="11.28515625" style="6" bestFit="1" customWidth="1"/>
    <col min="13" max="13" width="7.42578125" style="6" bestFit="1" customWidth="1"/>
    <col min="14" max="14" width="28" style="5" customWidth="1"/>
    <col min="15" max="16384" width="9.140625" style="3"/>
  </cols>
  <sheetData>
    <row r="1" spans="1:14" s="2" customFormat="1" ht="29.1" customHeight="1" x14ac:dyDescent="0.2">
      <c r="A1" s="83" t="s">
        <v>1871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1475</v>
      </c>
      <c r="F3" s="94" t="s">
        <v>6</v>
      </c>
      <c r="G3" s="94" t="s">
        <v>7</v>
      </c>
      <c r="H3" s="94" t="s">
        <v>1872</v>
      </c>
      <c r="I3" s="94"/>
      <c r="J3" s="94"/>
      <c r="K3" s="94"/>
      <c r="L3" s="94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3"/>
      <c r="M4" s="93"/>
      <c r="N4" s="78"/>
    </row>
    <row r="5" spans="1:14" ht="15" x14ac:dyDescent="0.2">
      <c r="A5" s="79" t="s">
        <v>73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4" t="s">
        <v>16</v>
      </c>
      <c r="B6" s="11" t="s">
        <v>1873</v>
      </c>
      <c r="C6" s="11" t="s">
        <v>1874</v>
      </c>
      <c r="D6" s="11" t="s">
        <v>114</v>
      </c>
      <c r="E6" s="11" t="str">
        <f>"0,7671"</f>
        <v>0,7671</v>
      </c>
      <c r="F6" s="11" t="s">
        <v>672</v>
      </c>
      <c r="G6" s="11" t="s">
        <v>1875</v>
      </c>
      <c r="H6" s="13" t="s">
        <v>56</v>
      </c>
      <c r="I6" s="13" t="s">
        <v>89</v>
      </c>
      <c r="J6" s="12" t="s">
        <v>22</v>
      </c>
      <c r="K6" s="14"/>
      <c r="L6" s="14" t="str">
        <f>"65,0"</f>
        <v>65,0</v>
      </c>
      <c r="M6" s="14" t="str">
        <f>"49,8583"</f>
        <v>49,8583</v>
      </c>
      <c r="N6" s="11" t="s">
        <v>59</v>
      </c>
    </row>
    <row r="7" spans="1:14" x14ac:dyDescent="0.2">
      <c r="A7" s="17" t="s">
        <v>60</v>
      </c>
      <c r="B7" s="15" t="s">
        <v>1876</v>
      </c>
      <c r="C7" s="15" t="s">
        <v>1877</v>
      </c>
      <c r="D7" s="15" t="s">
        <v>1878</v>
      </c>
      <c r="E7" s="15" t="str">
        <f>"0,7570"</f>
        <v>0,7570</v>
      </c>
      <c r="F7" s="15" t="s">
        <v>20</v>
      </c>
      <c r="G7" s="15" t="s">
        <v>579</v>
      </c>
      <c r="H7" s="16" t="s">
        <v>54</v>
      </c>
      <c r="I7" s="16" t="s">
        <v>55</v>
      </c>
      <c r="J7" s="18" t="s">
        <v>89</v>
      </c>
      <c r="K7" s="17"/>
      <c r="L7" s="17" t="str">
        <f>"60,0"</f>
        <v>60,0</v>
      </c>
      <c r="M7" s="17" t="str">
        <f>"45,4230"</f>
        <v>45,4230</v>
      </c>
      <c r="N7" s="15" t="s">
        <v>59</v>
      </c>
    </row>
    <row r="8" spans="1:14" x14ac:dyDescent="0.2">
      <c r="A8" s="21" t="s">
        <v>16</v>
      </c>
      <c r="B8" s="19" t="s">
        <v>1876</v>
      </c>
      <c r="C8" s="19" t="s">
        <v>1879</v>
      </c>
      <c r="D8" s="19" t="s">
        <v>1878</v>
      </c>
      <c r="E8" s="19" t="str">
        <f>"0,7570"</f>
        <v>0,7570</v>
      </c>
      <c r="F8" s="19" t="s">
        <v>20</v>
      </c>
      <c r="G8" s="19" t="s">
        <v>579</v>
      </c>
      <c r="H8" s="20" t="s">
        <v>54</v>
      </c>
      <c r="I8" s="20" t="s">
        <v>55</v>
      </c>
      <c r="J8" s="22" t="s">
        <v>89</v>
      </c>
      <c r="K8" s="21"/>
      <c r="L8" s="21" t="str">
        <f>"60,0"</f>
        <v>60,0</v>
      </c>
      <c r="M8" s="21" t="str">
        <f>"52,9178"</f>
        <v>52,9178</v>
      </c>
      <c r="N8" s="19" t="s">
        <v>59</v>
      </c>
    </row>
    <row r="9" spans="1:14" x14ac:dyDescent="0.2">
      <c r="B9" s="5" t="s">
        <v>38</v>
      </c>
    </row>
    <row r="10" spans="1:14" ht="15" x14ac:dyDescent="0.2">
      <c r="A10" s="81" t="s">
        <v>131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4" x14ac:dyDescent="0.2">
      <c r="A11" s="14" t="s">
        <v>16</v>
      </c>
      <c r="B11" s="11" t="s">
        <v>1880</v>
      </c>
      <c r="C11" s="11" t="s">
        <v>1881</v>
      </c>
      <c r="D11" s="11" t="s">
        <v>1882</v>
      </c>
      <c r="E11" s="11" t="str">
        <f>"0,7117"</f>
        <v>0,7117</v>
      </c>
      <c r="F11" s="11" t="s">
        <v>20</v>
      </c>
      <c r="G11" s="11" t="s">
        <v>69</v>
      </c>
      <c r="H11" s="13" t="s">
        <v>27</v>
      </c>
      <c r="I11" s="13" t="s">
        <v>44</v>
      </c>
      <c r="J11" s="12" t="s">
        <v>70</v>
      </c>
      <c r="K11" s="14"/>
      <c r="L11" s="14" t="str">
        <f>"50,0"</f>
        <v>50,0</v>
      </c>
      <c r="M11" s="14" t="str">
        <f>"35,5850"</f>
        <v>35,5850</v>
      </c>
      <c r="N11" s="11" t="s">
        <v>59</v>
      </c>
    </row>
    <row r="12" spans="1:14" x14ac:dyDescent="0.2">
      <c r="A12" s="17" t="s">
        <v>16</v>
      </c>
      <c r="B12" s="15" t="s">
        <v>1883</v>
      </c>
      <c r="C12" s="15" t="s">
        <v>1884</v>
      </c>
      <c r="D12" s="15" t="s">
        <v>1885</v>
      </c>
      <c r="E12" s="15" t="str">
        <f>"0,6906"</f>
        <v>0,6906</v>
      </c>
      <c r="F12" s="15" t="s">
        <v>20</v>
      </c>
      <c r="G12" s="15" t="s">
        <v>1886</v>
      </c>
      <c r="H12" s="16" t="s">
        <v>56</v>
      </c>
      <c r="I12" s="18" t="s">
        <v>22</v>
      </c>
      <c r="J12" s="16" t="s">
        <v>34</v>
      </c>
      <c r="K12" s="17"/>
      <c r="L12" s="17" t="str">
        <f>"70,0"</f>
        <v>70,0</v>
      </c>
      <c r="M12" s="17" t="str">
        <f>"48,3420"</f>
        <v>48,3420</v>
      </c>
      <c r="N12" s="15" t="s">
        <v>59</v>
      </c>
    </row>
    <row r="13" spans="1:14" x14ac:dyDescent="0.2">
      <c r="A13" s="17" t="s">
        <v>60</v>
      </c>
      <c r="B13" s="15" t="s">
        <v>1887</v>
      </c>
      <c r="C13" s="15" t="s">
        <v>1888</v>
      </c>
      <c r="D13" s="15" t="s">
        <v>1889</v>
      </c>
      <c r="E13" s="15" t="str">
        <f>"0,6934"</f>
        <v>0,6934</v>
      </c>
      <c r="F13" s="15" t="s">
        <v>20</v>
      </c>
      <c r="G13" s="15" t="s">
        <v>879</v>
      </c>
      <c r="H13" s="16" t="s">
        <v>45</v>
      </c>
      <c r="I13" s="16" t="s">
        <v>55</v>
      </c>
      <c r="J13" s="18" t="s">
        <v>56</v>
      </c>
      <c r="K13" s="17"/>
      <c r="L13" s="17" t="str">
        <f>"60,0"</f>
        <v>60,0</v>
      </c>
      <c r="M13" s="17" t="str">
        <f>"41,6010"</f>
        <v>41,6010</v>
      </c>
      <c r="N13" s="15" t="s">
        <v>59</v>
      </c>
    </row>
    <row r="14" spans="1:14" x14ac:dyDescent="0.2">
      <c r="A14" s="17" t="s">
        <v>16</v>
      </c>
      <c r="B14" s="15" t="s">
        <v>1887</v>
      </c>
      <c r="C14" s="15" t="s">
        <v>1890</v>
      </c>
      <c r="D14" s="15" t="s">
        <v>1889</v>
      </c>
      <c r="E14" s="15" t="str">
        <f>"0,6934"</f>
        <v>0,6934</v>
      </c>
      <c r="F14" s="15" t="s">
        <v>20</v>
      </c>
      <c r="G14" s="15" t="s">
        <v>879</v>
      </c>
      <c r="H14" s="16" t="s">
        <v>45</v>
      </c>
      <c r="I14" s="16" t="s">
        <v>55</v>
      </c>
      <c r="J14" s="18" t="s">
        <v>56</v>
      </c>
      <c r="K14" s="17"/>
      <c r="L14" s="17" t="str">
        <f>"60,0"</f>
        <v>60,0</v>
      </c>
      <c r="M14" s="17" t="str">
        <f>"43,8891"</f>
        <v>43,8891</v>
      </c>
      <c r="N14" s="15" t="s">
        <v>59</v>
      </c>
    </row>
    <row r="15" spans="1:14" x14ac:dyDescent="0.2">
      <c r="A15" s="21" t="s">
        <v>16</v>
      </c>
      <c r="B15" s="19" t="s">
        <v>997</v>
      </c>
      <c r="C15" s="19" t="s">
        <v>998</v>
      </c>
      <c r="D15" s="19" t="s">
        <v>999</v>
      </c>
      <c r="E15" s="19" t="str">
        <f>"0,7086"</f>
        <v>0,7086</v>
      </c>
      <c r="F15" s="19" t="s">
        <v>20</v>
      </c>
      <c r="G15" s="19" t="s">
        <v>69</v>
      </c>
      <c r="H15" s="20" t="s">
        <v>70</v>
      </c>
      <c r="I15" s="22" t="s">
        <v>54</v>
      </c>
      <c r="J15" s="22" t="s">
        <v>54</v>
      </c>
      <c r="K15" s="21"/>
      <c r="L15" s="21" t="str">
        <f>"52,5"</f>
        <v>52,5</v>
      </c>
      <c r="M15" s="21" t="str">
        <f>"42,0407"</f>
        <v>42,0407</v>
      </c>
      <c r="N15" s="19" t="s">
        <v>59</v>
      </c>
    </row>
    <row r="16" spans="1:14" x14ac:dyDescent="0.2">
      <c r="B16" s="5" t="s">
        <v>38</v>
      </c>
    </row>
    <row r="17" spans="1:14" ht="15" x14ac:dyDescent="0.2">
      <c r="A17" s="81" t="s">
        <v>192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4" x14ac:dyDescent="0.2">
      <c r="A18" s="14" t="s">
        <v>16</v>
      </c>
      <c r="B18" s="11" t="s">
        <v>1891</v>
      </c>
      <c r="C18" s="11" t="s">
        <v>1892</v>
      </c>
      <c r="D18" s="11" t="s">
        <v>582</v>
      </c>
      <c r="E18" s="11" t="str">
        <f>"0,6545"</f>
        <v>0,6545</v>
      </c>
      <c r="F18" s="11" t="s">
        <v>20</v>
      </c>
      <c r="G18" s="11" t="s">
        <v>69</v>
      </c>
      <c r="H18" s="13" t="s">
        <v>89</v>
      </c>
      <c r="I18" s="13" t="s">
        <v>34</v>
      </c>
      <c r="J18" s="13" t="s">
        <v>23</v>
      </c>
      <c r="K18" s="14"/>
      <c r="L18" s="14" t="str">
        <f>"75,0"</f>
        <v>75,0</v>
      </c>
      <c r="M18" s="14" t="str">
        <f>"49,0875"</f>
        <v>49,0875</v>
      </c>
      <c r="N18" s="11" t="s">
        <v>59</v>
      </c>
    </row>
    <row r="19" spans="1:14" x14ac:dyDescent="0.2">
      <c r="A19" s="17" t="s">
        <v>60</v>
      </c>
      <c r="B19" s="15" t="s">
        <v>1893</v>
      </c>
      <c r="C19" s="15" t="s">
        <v>1894</v>
      </c>
      <c r="D19" s="15" t="s">
        <v>772</v>
      </c>
      <c r="E19" s="15" t="str">
        <f>"0,6670"</f>
        <v>0,6670</v>
      </c>
      <c r="F19" s="15" t="s">
        <v>20</v>
      </c>
      <c r="G19" s="15" t="s">
        <v>69</v>
      </c>
      <c r="H19" s="16" t="s">
        <v>22</v>
      </c>
      <c r="I19" s="16" t="s">
        <v>379</v>
      </c>
      <c r="J19" s="18" t="s">
        <v>23</v>
      </c>
      <c r="K19" s="17"/>
      <c r="L19" s="17" t="str">
        <f>"72,5"</f>
        <v>72,5</v>
      </c>
      <c r="M19" s="17" t="str">
        <f>"48,3575"</f>
        <v>48,3575</v>
      </c>
      <c r="N19" s="15" t="s">
        <v>59</v>
      </c>
    </row>
    <row r="20" spans="1:14" x14ac:dyDescent="0.2">
      <c r="A20" s="17" t="s">
        <v>65</v>
      </c>
      <c r="B20" s="15" t="s">
        <v>1045</v>
      </c>
      <c r="C20" s="15" t="s">
        <v>1046</v>
      </c>
      <c r="D20" s="15" t="s">
        <v>244</v>
      </c>
      <c r="E20" s="15" t="str">
        <f>"0,6467"</f>
        <v>0,6467</v>
      </c>
      <c r="F20" s="15" t="s">
        <v>20</v>
      </c>
      <c r="G20" s="15" t="s">
        <v>605</v>
      </c>
      <c r="H20" s="16" t="s">
        <v>44</v>
      </c>
      <c r="I20" s="16" t="s">
        <v>55</v>
      </c>
      <c r="J20" s="16" t="s">
        <v>34</v>
      </c>
      <c r="K20" s="17"/>
      <c r="L20" s="17" t="str">
        <f>"70,0"</f>
        <v>70,0</v>
      </c>
      <c r="M20" s="17" t="str">
        <f>"45,2655"</f>
        <v>45,2655</v>
      </c>
      <c r="N20" s="15" t="s">
        <v>59</v>
      </c>
    </row>
    <row r="21" spans="1:14" x14ac:dyDescent="0.2">
      <c r="A21" s="21" t="s">
        <v>16</v>
      </c>
      <c r="B21" s="19" t="s">
        <v>1895</v>
      </c>
      <c r="C21" s="19" t="s">
        <v>1896</v>
      </c>
      <c r="D21" s="19" t="s">
        <v>1027</v>
      </c>
      <c r="E21" s="19" t="str">
        <f>"0,6503"</f>
        <v>0,6503</v>
      </c>
      <c r="F21" s="19" t="s">
        <v>20</v>
      </c>
      <c r="G21" s="19" t="s">
        <v>69</v>
      </c>
      <c r="H21" s="20" t="s">
        <v>54</v>
      </c>
      <c r="I21" s="20" t="s">
        <v>55</v>
      </c>
      <c r="J21" s="20" t="s">
        <v>89</v>
      </c>
      <c r="K21" s="21"/>
      <c r="L21" s="21" t="str">
        <f>"65,0"</f>
        <v>65,0</v>
      </c>
      <c r="M21" s="21" t="str">
        <f>"48,4794"</f>
        <v>48,4794</v>
      </c>
      <c r="N21" s="19" t="s">
        <v>59</v>
      </c>
    </row>
    <row r="22" spans="1:14" x14ac:dyDescent="0.2">
      <c r="B22" s="5" t="s">
        <v>38</v>
      </c>
    </row>
    <row r="23" spans="1:14" ht="15" x14ac:dyDescent="0.2">
      <c r="A23" s="81" t="s">
        <v>246</v>
      </c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4" x14ac:dyDescent="0.2">
      <c r="A24" s="14" t="s">
        <v>16</v>
      </c>
      <c r="B24" s="11" t="s">
        <v>1897</v>
      </c>
      <c r="C24" s="11" t="s">
        <v>1898</v>
      </c>
      <c r="D24" s="11" t="s">
        <v>640</v>
      </c>
      <c r="E24" s="11" t="str">
        <f>"0,6349"</f>
        <v>0,6349</v>
      </c>
      <c r="F24" s="11" t="s">
        <v>20</v>
      </c>
      <c r="G24" s="11" t="s">
        <v>1899</v>
      </c>
      <c r="H24" s="13" t="s">
        <v>54</v>
      </c>
      <c r="I24" s="13" t="s">
        <v>55</v>
      </c>
      <c r="J24" s="13" t="s">
        <v>89</v>
      </c>
      <c r="K24" s="14"/>
      <c r="L24" s="14" t="str">
        <f>"65,0"</f>
        <v>65,0</v>
      </c>
      <c r="M24" s="14" t="str">
        <f>"41,2717"</f>
        <v>41,2717</v>
      </c>
      <c r="N24" s="11" t="s">
        <v>59</v>
      </c>
    </row>
    <row r="25" spans="1:14" x14ac:dyDescent="0.2">
      <c r="A25" s="17" t="s">
        <v>16</v>
      </c>
      <c r="B25" s="15" t="s">
        <v>1900</v>
      </c>
      <c r="C25" s="15" t="s">
        <v>1901</v>
      </c>
      <c r="D25" s="15" t="s">
        <v>1118</v>
      </c>
      <c r="E25" s="15" t="str">
        <f>"0,6242"</f>
        <v>0,6242</v>
      </c>
      <c r="F25" s="15" t="s">
        <v>20</v>
      </c>
      <c r="G25" s="15" t="s">
        <v>1902</v>
      </c>
      <c r="H25" s="16" t="s">
        <v>89</v>
      </c>
      <c r="I25" s="16" t="s">
        <v>379</v>
      </c>
      <c r="J25" s="16" t="s">
        <v>35</v>
      </c>
      <c r="K25" s="17"/>
      <c r="L25" s="17" t="str">
        <f>"80,0"</f>
        <v>80,0</v>
      </c>
      <c r="M25" s="17" t="str">
        <f>"49,9400"</f>
        <v>49,9400</v>
      </c>
      <c r="N25" s="15" t="s">
        <v>59</v>
      </c>
    </row>
    <row r="26" spans="1:14" x14ac:dyDescent="0.2">
      <c r="A26" s="17" t="s">
        <v>60</v>
      </c>
      <c r="B26" s="15" t="s">
        <v>277</v>
      </c>
      <c r="C26" s="15" t="s">
        <v>278</v>
      </c>
      <c r="D26" s="15" t="s">
        <v>438</v>
      </c>
      <c r="E26" s="15" t="str">
        <f>"0,6126"</f>
        <v>0,6126</v>
      </c>
      <c r="F26" s="15" t="s">
        <v>20</v>
      </c>
      <c r="G26" s="15" t="s">
        <v>279</v>
      </c>
      <c r="H26" s="16" t="s">
        <v>55</v>
      </c>
      <c r="I26" s="16" t="s">
        <v>89</v>
      </c>
      <c r="J26" s="18" t="s">
        <v>22</v>
      </c>
      <c r="K26" s="17"/>
      <c r="L26" s="17" t="str">
        <f>"65,0"</f>
        <v>65,0</v>
      </c>
      <c r="M26" s="17" t="str">
        <f>"39,8190"</f>
        <v>39,8190</v>
      </c>
      <c r="N26" s="15" t="s">
        <v>280</v>
      </c>
    </row>
    <row r="27" spans="1:14" x14ac:dyDescent="0.2">
      <c r="A27" s="17" t="s">
        <v>65</v>
      </c>
      <c r="B27" s="15" t="s">
        <v>1903</v>
      </c>
      <c r="C27" s="15" t="s">
        <v>1904</v>
      </c>
      <c r="D27" s="15" t="s">
        <v>294</v>
      </c>
      <c r="E27" s="15" t="str">
        <f>"0,6122"</f>
        <v>0,6122</v>
      </c>
      <c r="F27" s="15" t="s">
        <v>20</v>
      </c>
      <c r="G27" s="15" t="s">
        <v>879</v>
      </c>
      <c r="H27" s="16" t="s">
        <v>54</v>
      </c>
      <c r="I27" s="16" t="s">
        <v>55</v>
      </c>
      <c r="J27" s="16" t="s">
        <v>56</v>
      </c>
      <c r="K27" s="17"/>
      <c r="L27" s="17" t="str">
        <f>"62,5"</f>
        <v>62,5</v>
      </c>
      <c r="M27" s="17" t="str">
        <f>"38,2656"</f>
        <v>38,2656</v>
      </c>
      <c r="N27" s="15" t="s">
        <v>59</v>
      </c>
    </row>
    <row r="28" spans="1:14" x14ac:dyDescent="0.2">
      <c r="A28" s="17" t="s">
        <v>182</v>
      </c>
      <c r="B28" s="15" t="s">
        <v>1905</v>
      </c>
      <c r="C28" s="15" t="s">
        <v>1906</v>
      </c>
      <c r="D28" s="15" t="s">
        <v>1092</v>
      </c>
      <c r="E28" s="15" t="str">
        <f>"0,6145"</f>
        <v>0,6145</v>
      </c>
      <c r="F28" s="15" t="s">
        <v>20</v>
      </c>
      <c r="G28" s="15" t="s">
        <v>69</v>
      </c>
      <c r="H28" s="16" t="s">
        <v>45</v>
      </c>
      <c r="I28" s="18" t="s">
        <v>55</v>
      </c>
      <c r="J28" s="18" t="s">
        <v>56</v>
      </c>
      <c r="K28" s="17"/>
      <c r="L28" s="17" t="str">
        <f>"55,0"</f>
        <v>55,0</v>
      </c>
      <c r="M28" s="17" t="str">
        <f>"33,8002"</f>
        <v>33,8002</v>
      </c>
      <c r="N28" s="15" t="s">
        <v>59</v>
      </c>
    </row>
    <row r="29" spans="1:14" x14ac:dyDescent="0.2">
      <c r="A29" s="21" t="s">
        <v>16</v>
      </c>
      <c r="B29" s="19" t="s">
        <v>1496</v>
      </c>
      <c r="C29" s="19" t="s">
        <v>1505</v>
      </c>
      <c r="D29" s="19" t="s">
        <v>256</v>
      </c>
      <c r="E29" s="19" t="str">
        <f>"0,6157"</f>
        <v>0,6157</v>
      </c>
      <c r="F29" s="19" t="s">
        <v>20</v>
      </c>
      <c r="G29" s="19" t="s">
        <v>265</v>
      </c>
      <c r="H29" s="20" t="s">
        <v>54</v>
      </c>
      <c r="I29" s="20" t="s">
        <v>56</v>
      </c>
      <c r="J29" s="22" t="s">
        <v>22</v>
      </c>
      <c r="K29" s="21"/>
      <c r="L29" s="21" t="str">
        <f>"62,5"</f>
        <v>62,5</v>
      </c>
      <c r="M29" s="21" t="str">
        <f>"43,4838"</f>
        <v>43,4838</v>
      </c>
      <c r="N29" s="19" t="s">
        <v>59</v>
      </c>
    </row>
    <row r="30" spans="1:14" x14ac:dyDescent="0.2">
      <c r="B30" s="5" t="s">
        <v>38</v>
      </c>
    </row>
    <row r="31" spans="1:14" ht="15" x14ac:dyDescent="0.2">
      <c r="A31" s="81" t="s">
        <v>295</v>
      </c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4" x14ac:dyDescent="0.2">
      <c r="A32" s="14" t="s">
        <v>16</v>
      </c>
      <c r="B32" s="11" t="s">
        <v>1907</v>
      </c>
      <c r="C32" s="11" t="s">
        <v>1908</v>
      </c>
      <c r="D32" s="11" t="s">
        <v>1909</v>
      </c>
      <c r="E32" s="11" t="str">
        <f>"0,5938"</f>
        <v>0,5938</v>
      </c>
      <c r="F32" s="11" t="s">
        <v>20</v>
      </c>
      <c r="G32" s="11" t="s">
        <v>69</v>
      </c>
      <c r="H32" s="13" t="s">
        <v>56</v>
      </c>
      <c r="I32" s="13" t="s">
        <v>34</v>
      </c>
      <c r="J32" s="12" t="s">
        <v>373</v>
      </c>
      <c r="K32" s="14"/>
      <c r="L32" s="14" t="str">
        <f>"70,0"</f>
        <v>70,0</v>
      </c>
      <c r="M32" s="14" t="str">
        <f>"41,5625"</f>
        <v>41,5625</v>
      </c>
      <c r="N32" s="11" t="s">
        <v>59</v>
      </c>
    </row>
    <row r="33" spans="1:14" x14ac:dyDescent="0.2">
      <c r="A33" s="17" t="s">
        <v>16</v>
      </c>
      <c r="B33" s="15" t="s">
        <v>1910</v>
      </c>
      <c r="C33" s="15" t="s">
        <v>1911</v>
      </c>
      <c r="D33" s="15" t="s">
        <v>1169</v>
      </c>
      <c r="E33" s="15" t="str">
        <f>"0,5846"</f>
        <v>0,5846</v>
      </c>
      <c r="F33" s="15" t="s">
        <v>20</v>
      </c>
      <c r="G33" s="15" t="s">
        <v>69</v>
      </c>
      <c r="H33" s="16" t="s">
        <v>35</v>
      </c>
      <c r="I33" s="16" t="s">
        <v>24</v>
      </c>
      <c r="J33" s="18" t="s">
        <v>1912</v>
      </c>
      <c r="K33" s="17"/>
      <c r="L33" s="17" t="str">
        <f>"85,0"</f>
        <v>85,0</v>
      </c>
      <c r="M33" s="17" t="str">
        <f>"49,6868"</f>
        <v>49,6868</v>
      </c>
      <c r="N33" s="15" t="s">
        <v>59</v>
      </c>
    </row>
    <row r="34" spans="1:14" x14ac:dyDescent="0.2">
      <c r="A34" s="17" t="s">
        <v>60</v>
      </c>
      <c r="B34" s="15" t="s">
        <v>1907</v>
      </c>
      <c r="C34" s="15" t="s">
        <v>1913</v>
      </c>
      <c r="D34" s="15" t="s">
        <v>1909</v>
      </c>
      <c r="E34" s="15" t="str">
        <f>"0,5938"</f>
        <v>0,5938</v>
      </c>
      <c r="F34" s="15" t="s">
        <v>20</v>
      </c>
      <c r="G34" s="15" t="s">
        <v>69</v>
      </c>
      <c r="H34" s="16" t="s">
        <v>56</v>
      </c>
      <c r="I34" s="16" t="s">
        <v>34</v>
      </c>
      <c r="J34" s="18" t="s">
        <v>373</v>
      </c>
      <c r="K34" s="17"/>
      <c r="L34" s="17" t="str">
        <f>"70,0"</f>
        <v>70,0</v>
      </c>
      <c r="M34" s="17" t="str">
        <f>"41,5625"</f>
        <v>41,5625</v>
      </c>
      <c r="N34" s="15" t="s">
        <v>59</v>
      </c>
    </row>
    <row r="35" spans="1:14" x14ac:dyDescent="0.2">
      <c r="A35" s="17" t="s">
        <v>65</v>
      </c>
      <c r="B35" s="15" t="s">
        <v>1148</v>
      </c>
      <c r="C35" s="15" t="s">
        <v>1149</v>
      </c>
      <c r="D35" s="15" t="s">
        <v>1914</v>
      </c>
      <c r="E35" s="15" t="str">
        <f>"0,5835"</f>
        <v>0,5835</v>
      </c>
      <c r="F35" s="15" t="s">
        <v>20</v>
      </c>
      <c r="G35" s="15" t="s">
        <v>605</v>
      </c>
      <c r="H35" s="16" t="s">
        <v>55</v>
      </c>
      <c r="I35" s="16" t="s">
        <v>34</v>
      </c>
      <c r="J35" s="18" t="s">
        <v>35</v>
      </c>
      <c r="K35" s="17"/>
      <c r="L35" s="17" t="str">
        <f>"70,0"</f>
        <v>70,0</v>
      </c>
      <c r="M35" s="17" t="str">
        <f>"40,8485"</f>
        <v>40,8485</v>
      </c>
      <c r="N35" s="15" t="s">
        <v>1151</v>
      </c>
    </row>
    <row r="36" spans="1:14" x14ac:dyDescent="0.2">
      <c r="A36" s="21" t="s">
        <v>186</v>
      </c>
      <c r="B36" s="19" t="s">
        <v>1915</v>
      </c>
      <c r="C36" s="19" t="s">
        <v>1916</v>
      </c>
      <c r="D36" s="19" t="s">
        <v>1166</v>
      </c>
      <c r="E36" s="19" t="str">
        <f>"0,5828"</f>
        <v>0,5828</v>
      </c>
      <c r="F36" s="19" t="s">
        <v>20</v>
      </c>
      <c r="G36" s="19" t="s">
        <v>69</v>
      </c>
      <c r="H36" s="22" t="s">
        <v>108</v>
      </c>
      <c r="I36" s="22" t="s">
        <v>1912</v>
      </c>
      <c r="J36" s="22" t="s">
        <v>1912</v>
      </c>
      <c r="K36" s="21"/>
      <c r="L36" s="21" t="str">
        <f>"0.00"</f>
        <v>0.00</v>
      </c>
      <c r="M36" s="21" t="str">
        <f>"0,0000"</f>
        <v>0,0000</v>
      </c>
      <c r="N36" s="19" t="s">
        <v>59</v>
      </c>
    </row>
    <row r="37" spans="1:14" x14ac:dyDescent="0.2">
      <c r="B37" s="5" t="s">
        <v>38</v>
      </c>
    </row>
    <row r="38" spans="1:14" ht="15" x14ac:dyDescent="0.2">
      <c r="A38" s="81" t="s">
        <v>323</v>
      </c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1:14" x14ac:dyDescent="0.2">
      <c r="A39" s="14" t="s">
        <v>16</v>
      </c>
      <c r="B39" s="11" t="s">
        <v>1643</v>
      </c>
      <c r="C39" s="11" t="s">
        <v>1644</v>
      </c>
      <c r="D39" s="11" t="s">
        <v>476</v>
      </c>
      <c r="E39" s="11" t="str">
        <f>"0,5720"</f>
        <v>0,5720</v>
      </c>
      <c r="F39" s="11" t="s">
        <v>20</v>
      </c>
      <c r="G39" s="11" t="s">
        <v>69</v>
      </c>
      <c r="H39" s="12" t="s">
        <v>55</v>
      </c>
      <c r="I39" s="13" t="s">
        <v>55</v>
      </c>
      <c r="J39" s="12" t="s">
        <v>34</v>
      </c>
      <c r="K39" s="14"/>
      <c r="L39" s="14" t="str">
        <f>"60,0"</f>
        <v>60,0</v>
      </c>
      <c r="M39" s="14" t="str">
        <f>"34,3200"</f>
        <v>34,3200</v>
      </c>
      <c r="N39" s="11" t="s">
        <v>59</v>
      </c>
    </row>
    <row r="40" spans="1:14" x14ac:dyDescent="0.2">
      <c r="A40" s="17" t="s">
        <v>16</v>
      </c>
      <c r="B40" s="15" t="s">
        <v>1917</v>
      </c>
      <c r="C40" s="15" t="s">
        <v>1918</v>
      </c>
      <c r="D40" s="15" t="s">
        <v>841</v>
      </c>
      <c r="E40" s="15" t="str">
        <f>"0,5670"</f>
        <v>0,5670</v>
      </c>
      <c r="F40" s="15" t="s">
        <v>190</v>
      </c>
      <c r="G40" s="15" t="s">
        <v>1919</v>
      </c>
      <c r="H40" s="16" t="s">
        <v>55</v>
      </c>
      <c r="I40" s="16" t="s">
        <v>56</v>
      </c>
      <c r="J40" s="18" t="s">
        <v>89</v>
      </c>
      <c r="K40" s="17"/>
      <c r="L40" s="17" t="str">
        <f>"62,5"</f>
        <v>62,5</v>
      </c>
      <c r="M40" s="17" t="str">
        <f>"38,8715"</f>
        <v>38,8715</v>
      </c>
      <c r="N40" s="15" t="s">
        <v>59</v>
      </c>
    </row>
    <row r="41" spans="1:14" x14ac:dyDescent="0.2">
      <c r="A41" s="21" t="s">
        <v>60</v>
      </c>
      <c r="B41" s="19" t="s">
        <v>330</v>
      </c>
      <c r="C41" s="19" t="s">
        <v>331</v>
      </c>
      <c r="D41" s="19" t="s">
        <v>1522</v>
      </c>
      <c r="E41" s="19" t="str">
        <f>"0,5648"</f>
        <v>0,5648</v>
      </c>
      <c r="F41" s="19" t="s">
        <v>20</v>
      </c>
      <c r="G41" s="19" t="s">
        <v>279</v>
      </c>
      <c r="H41" s="20" t="s">
        <v>44</v>
      </c>
      <c r="I41" s="20" t="s">
        <v>45</v>
      </c>
      <c r="J41" s="21"/>
      <c r="K41" s="21"/>
      <c r="L41" s="21" t="str">
        <f>"55,0"</f>
        <v>55,0</v>
      </c>
      <c r="M41" s="21" t="str">
        <f>"32,3983"</f>
        <v>32,3983</v>
      </c>
      <c r="N41" s="19" t="s">
        <v>59</v>
      </c>
    </row>
    <row r="42" spans="1:14" x14ac:dyDescent="0.2">
      <c r="B42" s="5" t="s">
        <v>38</v>
      </c>
    </row>
    <row r="43" spans="1:14" ht="15" x14ac:dyDescent="0.2">
      <c r="A43" s="81" t="s">
        <v>333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4" x14ac:dyDescent="0.2">
      <c r="A44" s="14" t="s">
        <v>16</v>
      </c>
      <c r="B44" s="11" t="s">
        <v>1920</v>
      </c>
      <c r="C44" s="11" t="s">
        <v>1921</v>
      </c>
      <c r="D44" s="11" t="s">
        <v>1922</v>
      </c>
      <c r="E44" s="11" t="str">
        <f>"0,5458"</f>
        <v>0,5458</v>
      </c>
      <c r="F44" s="11" t="s">
        <v>20</v>
      </c>
      <c r="G44" s="11" t="s">
        <v>1578</v>
      </c>
      <c r="H44" s="13" t="s">
        <v>29</v>
      </c>
      <c r="I44" s="13" t="s">
        <v>30</v>
      </c>
      <c r="J44" s="13" t="s">
        <v>385</v>
      </c>
      <c r="K44" s="13" t="s">
        <v>37</v>
      </c>
      <c r="L44" s="14" t="str">
        <f>"102,5"</f>
        <v>102,5</v>
      </c>
      <c r="M44" s="14" t="str">
        <f>"55,9394"</f>
        <v>55,9394</v>
      </c>
      <c r="N44" s="11" t="s">
        <v>59</v>
      </c>
    </row>
    <row r="45" spans="1:14" x14ac:dyDescent="0.2">
      <c r="A45" s="21" t="s">
        <v>16</v>
      </c>
      <c r="B45" s="19" t="s">
        <v>1920</v>
      </c>
      <c r="C45" s="19" t="s">
        <v>1923</v>
      </c>
      <c r="D45" s="19" t="s">
        <v>1922</v>
      </c>
      <c r="E45" s="19" t="str">
        <f>"0,5458"</f>
        <v>0,5458</v>
      </c>
      <c r="F45" s="19" t="s">
        <v>20</v>
      </c>
      <c r="G45" s="19" t="s">
        <v>1578</v>
      </c>
      <c r="H45" s="20" t="s">
        <v>29</v>
      </c>
      <c r="I45" s="20" t="s">
        <v>30</v>
      </c>
      <c r="J45" s="20" t="s">
        <v>385</v>
      </c>
      <c r="K45" s="20" t="s">
        <v>37</v>
      </c>
      <c r="L45" s="21" t="str">
        <f>"102,5"</f>
        <v>102,5</v>
      </c>
      <c r="M45" s="21" t="str">
        <f>"55,9394"</f>
        <v>55,9394</v>
      </c>
      <c r="N45" s="19" t="s">
        <v>59</v>
      </c>
    </row>
    <row r="46" spans="1:14" x14ac:dyDescent="0.2">
      <c r="B46" s="5" t="s">
        <v>38</v>
      </c>
    </row>
    <row r="47" spans="1:14" ht="15" x14ac:dyDescent="0.2">
      <c r="A47" s="81" t="s">
        <v>503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4" x14ac:dyDescent="0.2">
      <c r="A48" s="10" t="s">
        <v>16</v>
      </c>
      <c r="B48" s="7" t="s">
        <v>504</v>
      </c>
      <c r="C48" s="7" t="s">
        <v>505</v>
      </c>
      <c r="D48" s="7" t="s">
        <v>506</v>
      </c>
      <c r="E48" s="7" t="str">
        <f>"0,5418"</f>
        <v>0,5418</v>
      </c>
      <c r="F48" s="7" t="s">
        <v>20</v>
      </c>
      <c r="G48" s="7" t="s">
        <v>279</v>
      </c>
      <c r="H48" s="8" t="s">
        <v>35</v>
      </c>
      <c r="I48" s="8" t="s">
        <v>53</v>
      </c>
      <c r="J48" s="9" t="s">
        <v>46</v>
      </c>
      <c r="K48" s="10"/>
      <c r="L48" s="10" t="str">
        <f>"90,0"</f>
        <v>90,0</v>
      </c>
      <c r="M48" s="10" t="str">
        <f>"48,7638"</f>
        <v>48,7638</v>
      </c>
      <c r="N48" s="7" t="s">
        <v>59</v>
      </c>
    </row>
    <row r="49" spans="2:7" x14ac:dyDescent="0.2">
      <c r="B49" s="5" t="s">
        <v>38</v>
      </c>
    </row>
    <row r="50" spans="2:7" ht="15" x14ac:dyDescent="0.2">
      <c r="B50" s="5" t="s">
        <v>38</v>
      </c>
      <c r="F50" s="23"/>
    </row>
    <row r="51" spans="2:7" x14ac:dyDescent="0.2">
      <c r="B51" s="5" t="s">
        <v>38</v>
      </c>
    </row>
    <row r="52" spans="2:7" ht="18" x14ac:dyDescent="0.2">
      <c r="B52" s="24" t="s">
        <v>340</v>
      </c>
      <c r="C52" s="24"/>
      <c r="G52" s="3"/>
    </row>
    <row r="53" spans="2:7" ht="15" x14ac:dyDescent="0.2">
      <c r="B53" s="73" t="s">
        <v>341</v>
      </c>
      <c r="C53" s="73"/>
      <c r="G53" s="3"/>
    </row>
    <row r="54" spans="2:7" ht="14.25" x14ac:dyDescent="0.2">
      <c r="B54" s="25"/>
      <c r="C54" s="25" t="s">
        <v>358</v>
      </c>
      <c r="G54" s="3"/>
    </row>
    <row r="55" spans="2:7" ht="15" x14ac:dyDescent="0.2">
      <c r="B55" s="4" t="s">
        <v>343</v>
      </c>
      <c r="C55" s="4" t="s">
        <v>344</v>
      </c>
      <c r="D55" s="4" t="s">
        <v>345</v>
      </c>
      <c r="E55" s="4" t="s">
        <v>861</v>
      </c>
      <c r="F55" s="4" t="s">
        <v>1531</v>
      </c>
      <c r="G55" s="3"/>
    </row>
    <row r="56" spans="2:7" x14ac:dyDescent="0.2">
      <c r="B56" s="5" t="s">
        <v>1920</v>
      </c>
      <c r="C56" s="5" t="s">
        <v>358</v>
      </c>
      <c r="D56" s="6" t="s">
        <v>749</v>
      </c>
      <c r="E56" s="6" t="s">
        <v>385</v>
      </c>
      <c r="F56" s="6" t="s">
        <v>1924</v>
      </c>
      <c r="G56" s="3"/>
    </row>
    <row r="57" spans="2:7" x14ac:dyDescent="0.2">
      <c r="B57" s="5" t="s">
        <v>1900</v>
      </c>
      <c r="C57" s="5" t="s">
        <v>358</v>
      </c>
      <c r="D57" s="6" t="s">
        <v>352</v>
      </c>
      <c r="E57" s="6" t="s">
        <v>35</v>
      </c>
      <c r="F57" s="6" t="s">
        <v>1925</v>
      </c>
      <c r="G57" s="3"/>
    </row>
    <row r="58" spans="2:7" x14ac:dyDescent="0.2">
      <c r="B58" s="5" t="s">
        <v>1873</v>
      </c>
      <c r="C58" s="5" t="s">
        <v>358</v>
      </c>
      <c r="D58" s="6" t="s">
        <v>1926</v>
      </c>
      <c r="E58" s="6" t="s">
        <v>89</v>
      </c>
      <c r="F58" s="6" t="s">
        <v>1927</v>
      </c>
      <c r="G58" s="3"/>
    </row>
  </sheetData>
  <mergeCells count="20">
    <mergeCell ref="A23:M23"/>
    <mergeCell ref="A31:M31"/>
    <mergeCell ref="A38:M38"/>
    <mergeCell ref="A43:M43"/>
    <mergeCell ref="A47:M47"/>
    <mergeCell ref="A10:M10"/>
    <mergeCell ref="A17:M17"/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M3:M4"/>
    <mergeCell ref="N3:N4"/>
    <mergeCell ref="A5:M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L15"/>
  <sheetViews>
    <sheetView workbookViewId="0">
      <selection sqref="A1:L2"/>
    </sheetView>
  </sheetViews>
  <sheetFormatPr defaultColWidth="9.140625" defaultRowHeight="12.75" x14ac:dyDescent="0.2"/>
  <cols>
    <col min="1" max="1" width="7.42578125" style="6" bestFit="1" customWidth="1"/>
    <col min="2" max="2" width="18.42578125" style="5" bestFit="1" customWidth="1"/>
    <col min="3" max="3" width="28.42578125" style="5" bestFit="1" customWidth="1"/>
    <col min="4" max="4" width="21.42578125" style="5" bestFit="1" customWidth="1"/>
    <col min="5" max="5" width="22.7109375" style="5" bestFit="1" customWidth="1"/>
    <col min="6" max="6" width="20.42578125" style="5" bestFit="1" customWidth="1"/>
    <col min="7" max="9" width="4.42578125" style="6" bestFit="1" customWidth="1"/>
    <col min="10" max="10" width="4.85546875" style="6" bestFit="1" customWidth="1"/>
    <col min="11" max="11" width="7.85546875" style="6" bestFit="1" customWidth="1"/>
    <col min="12" max="12" width="24.85546875" style="5" bestFit="1" customWidth="1"/>
    <col min="13" max="16384" width="9.140625" style="3"/>
  </cols>
  <sheetData>
    <row r="1" spans="1:12" s="2" customFormat="1" ht="29.1" customHeight="1" x14ac:dyDescent="0.2">
      <c r="A1" s="83" t="s">
        <v>1928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6</v>
      </c>
      <c r="F3" s="94" t="s">
        <v>7</v>
      </c>
      <c r="G3" s="94" t="s">
        <v>1929</v>
      </c>
      <c r="H3" s="94"/>
      <c r="I3" s="94"/>
      <c r="J3" s="94"/>
      <c r="K3" s="94" t="s">
        <v>11</v>
      </c>
      <c r="L3" s="77" t="s">
        <v>13</v>
      </c>
    </row>
    <row r="4" spans="1:12" s="1" customFormat="1" ht="21" customHeight="1" thickBot="1" x14ac:dyDescent="0.25">
      <c r="A4" s="91"/>
      <c r="B4" s="96"/>
      <c r="C4" s="93"/>
      <c r="D4" s="93"/>
      <c r="E4" s="93"/>
      <c r="F4" s="93"/>
      <c r="G4" s="74">
        <v>1</v>
      </c>
      <c r="H4" s="74">
        <v>2</v>
      </c>
      <c r="I4" s="74">
        <v>3</v>
      </c>
      <c r="J4" s="74" t="s">
        <v>14</v>
      </c>
      <c r="K4" s="93"/>
      <c r="L4" s="78"/>
    </row>
    <row r="5" spans="1:12" ht="15" x14ac:dyDescent="0.2">
      <c r="A5" s="79" t="s">
        <v>1930</v>
      </c>
      <c r="B5" s="79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0" t="s">
        <v>16</v>
      </c>
      <c r="B6" s="7" t="s">
        <v>1931</v>
      </c>
      <c r="C6" s="7" t="s">
        <v>1932</v>
      </c>
      <c r="D6" s="7" t="s">
        <v>1809</v>
      </c>
      <c r="E6" s="7" t="s">
        <v>20</v>
      </c>
      <c r="F6" s="7" t="s">
        <v>1933</v>
      </c>
      <c r="G6" s="8" t="s">
        <v>1934</v>
      </c>
      <c r="H6" s="8" t="s">
        <v>1935</v>
      </c>
      <c r="I6" s="8" t="s">
        <v>1936</v>
      </c>
      <c r="J6" s="9" t="s">
        <v>24</v>
      </c>
      <c r="K6" s="10" t="str">
        <f>"82,0"</f>
        <v>82,0</v>
      </c>
      <c r="L6" s="7" t="s">
        <v>59</v>
      </c>
    </row>
    <row r="7" spans="1:12" x14ac:dyDescent="0.2">
      <c r="B7" s="5" t="s">
        <v>38</v>
      </c>
    </row>
    <row r="8" spans="1:12" ht="15" x14ac:dyDescent="0.2">
      <c r="A8" s="81" t="s">
        <v>246</v>
      </c>
      <c r="B8" s="81"/>
      <c r="C8" s="82"/>
      <c r="D8" s="82"/>
      <c r="E8" s="82"/>
      <c r="F8" s="82"/>
      <c r="G8" s="82"/>
      <c r="H8" s="82"/>
      <c r="I8" s="82"/>
      <c r="J8" s="82"/>
      <c r="K8" s="82"/>
    </row>
    <row r="9" spans="1:12" x14ac:dyDescent="0.2">
      <c r="A9" s="10" t="s">
        <v>16</v>
      </c>
      <c r="B9" s="7" t="s">
        <v>1937</v>
      </c>
      <c r="C9" s="7" t="s">
        <v>1938</v>
      </c>
      <c r="D9" s="7" t="s">
        <v>1308</v>
      </c>
      <c r="E9" s="7" t="s">
        <v>20</v>
      </c>
      <c r="F9" s="7" t="s">
        <v>1939</v>
      </c>
      <c r="G9" s="9" t="s">
        <v>1935</v>
      </c>
      <c r="H9" s="8" t="s">
        <v>1935</v>
      </c>
      <c r="I9" s="9" t="s">
        <v>1936</v>
      </c>
      <c r="J9" s="10"/>
      <c r="K9" s="10" t="str">
        <f>"79,0"</f>
        <v>79,0</v>
      </c>
      <c r="L9" s="7" t="s">
        <v>59</v>
      </c>
    </row>
    <row r="10" spans="1:12" x14ac:dyDescent="0.2">
      <c r="B10" s="5" t="s">
        <v>38</v>
      </c>
    </row>
    <row r="11" spans="1:12" ht="15" x14ac:dyDescent="0.2">
      <c r="A11" s="81" t="s">
        <v>323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</row>
    <row r="12" spans="1:12" x14ac:dyDescent="0.2">
      <c r="A12" s="14" t="s">
        <v>16</v>
      </c>
      <c r="B12" s="11" t="s">
        <v>1940</v>
      </c>
      <c r="C12" s="11" t="s">
        <v>1941</v>
      </c>
      <c r="D12" s="11" t="s">
        <v>1942</v>
      </c>
      <c r="E12" s="11" t="s">
        <v>20</v>
      </c>
      <c r="F12" s="11" t="s">
        <v>69</v>
      </c>
      <c r="G12" s="13" t="s">
        <v>1943</v>
      </c>
      <c r="H12" s="12" t="s">
        <v>1944</v>
      </c>
      <c r="I12" s="13" t="s">
        <v>1944</v>
      </c>
      <c r="J12" s="14"/>
      <c r="K12" s="14" t="str">
        <f>"76,5"</f>
        <v>76,5</v>
      </c>
      <c r="L12" s="11" t="s">
        <v>1759</v>
      </c>
    </row>
    <row r="13" spans="1:12" x14ac:dyDescent="0.2">
      <c r="A13" s="17" t="s">
        <v>60</v>
      </c>
      <c r="B13" s="15" t="s">
        <v>1917</v>
      </c>
      <c r="C13" s="15" t="s">
        <v>1945</v>
      </c>
      <c r="D13" s="15" t="s">
        <v>841</v>
      </c>
      <c r="E13" s="15" t="s">
        <v>190</v>
      </c>
      <c r="F13" s="15" t="s">
        <v>1919</v>
      </c>
      <c r="G13" s="16" t="s">
        <v>1946</v>
      </c>
      <c r="H13" s="18" t="s">
        <v>1943</v>
      </c>
      <c r="I13" s="18" t="s">
        <v>1934</v>
      </c>
      <c r="J13" s="17"/>
      <c r="K13" s="17" t="str">
        <f>"69,0"</f>
        <v>69,0</v>
      </c>
      <c r="L13" s="15" t="s">
        <v>59</v>
      </c>
    </row>
    <row r="14" spans="1:12" x14ac:dyDescent="0.2">
      <c r="A14" s="21" t="s">
        <v>16</v>
      </c>
      <c r="B14" s="19" t="s">
        <v>1917</v>
      </c>
      <c r="C14" s="19" t="s">
        <v>1918</v>
      </c>
      <c r="D14" s="19" t="s">
        <v>841</v>
      </c>
      <c r="E14" s="19" t="s">
        <v>190</v>
      </c>
      <c r="F14" s="19" t="s">
        <v>1919</v>
      </c>
      <c r="G14" s="20" t="s">
        <v>1946</v>
      </c>
      <c r="H14" s="22" t="s">
        <v>1943</v>
      </c>
      <c r="I14" s="22" t="s">
        <v>1934</v>
      </c>
      <c r="J14" s="21"/>
      <c r="K14" s="21" t="str">
        <f>"69,0"</f>
        <v>69,0</v>
      </c>
      <c r="L14" s="19" t="s">
        <v>59</v>
      </c>
    </row>
    <row r="15" spans="1:12" x14ac:dyDescent="0.2">
      <c r="B15" s="5" t="s">
        <v>38</v>
      </c>
    </row>
  </sheetData>
  <mergeCells count="13">
    <mergeCell ref="A5:K5"/>
    <mergeCell ref="A8:K8"/>
    <mergeCell ref="A11:K11"/>
    <mergeCell ref="B3:B4"/>
    <mergeCell ref="A1:L2"/>
    <mergeCell ref="A3:A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L21"/>
  <sheetViews>
    <sheetView workbookViewId="0">
      <selection sqref="A1:L2"/>
    </sheetView>
  </sheetViews>
  <sheetFormatPr defaultColWidth="9.140625" defaultRowHeight="12.75" x14ac:dyDescent="0.2"/>
  <cols>
    <col min="1" max="1" width="7.42578125" style="6" bestFit="1" customWidth="1"/>
    <col min="2" max="2" width="19.42578125" style="5" bestFit="1" customWidth="1"/>
    <col min="3" max="3" width="28.42578125" style="5" bestFit="1" customWidth="1"/>
    <col min="4" max="4" width="21.42578125" style="5" bestFit="1" customWidth="1"/>
    <col min="5" max="5" width="25.42578125" style="5" bestFit="1" customWidth="1"/>
    <col min="6" max="6" width="25.42578125" style="5" customWidth="1"/>
    <col min="7" max="9" width="5.42578125" style="6" bestFit="1" customWidth="1"/>
    <col min="10" max="10" width="4.85546875" style="6" bestFit="1" customWidth="1"/>
    <col min="11" max="11" width="7.85546875" style="6" bestFit="1" customWidth="1"/>
    <col min="12" max="12" width="26.28515625" style="5" customWidth="1"/>
    <col min="13" max="16384" width="9.140625" style="3"/>
  </cols>
  <sheetData>
    <row r="1" spans="1:12" s="2" customFormat="1" ht="29.1" customHeight="1" x14ac:dyDescent="0.2">
      <c r="A1" s="83" t="s">
        <v>1947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6</v>
      </c>
      <c r="F3" s="94" t="s">
        <v>7</v>
      </c>
      <c r="G3" s="94" t="s">
        <v>1929</v>
      </c>
      <c r="H3" s="94"/>
      <c r="I3" s="94"/>
      <c r="J3" s="94"/>
      <c r="K3" s="94" t="s">
        <v>11</v>
      </c>
      <c r="L3" s="77" t="s">
        <v>13</v>
      </c>
    </row>
    <row r="4" spans="1:12" s="1" customFormat="1" ht="21" customHeight="1" thickBot="1" x14ac:dyDescent="0.25">
      <c r="A4" s="91"/>
      <c r="B4" s="96"/>
      <c r="C4" s="93"/>
      <c r="D4" s="93"/>
      <c r="E4" s="93"/>
      <c r="F4" s="93"/>
      <c r="G4" s="74">
        <v>1</v>
      </c>
      <c r="H4" s="74">
        <v>2</v>
      </c>
      <c r="I4" s="74">
        <v>3</v>
      </c>
      <c r="J4" s="74" t="s">
        <v>14</v>
      </c>
      <c r="K4" s="93"/>
      <c r="L4" s="78"/>
    </row>
    <row r="5" spans="1:12" ht="15" x14ac:dyDescent="0.2">
      <c r="A5" s="79" t="s">
        <v>131</v>
      </c>
      <c r="B5" s="79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0" t="s">
        <v>16</v>
      </c>
      <c r="B6" s="7" t="s">
        <v>1948</v>
      </c>
      <c r="C6" s="7" t="s">
        <v>1949</v>
      </c>
      <c r="D6" s="7" t="s">
        <v>1950</v>
      </c>
      <c r="E6" s="7" t="s">
        <v>20</v>
      </c>
      <c r="F6" s="7" t="s">
        <v>429</v>
      </c>
      <c r="G6" s="8" t="s">
        <v>23</v>
      </c>
      <c r="H6" s="8" t="s">
        <v>35</v>
      </c>
      <c r="I6" s="9" t="s">
        <v>24</v>
      </c>
      <c r="J6" s="10"/>
      <c r="K6" s="10" t="str">
        <f>"80,0"</f>
        <v>80,0</v>
      </c>
      <c r="L6" s="7" t="s">
        <v>59</v>
      </c>
    </row>
    <row r="7" spans="1:12" x14ac:dyDescent="0.2">
      <c r="B7" s="5" t="s">
        <v>38</v>
      </c>
    </row>
    <row r="8" spans="1:12" ht="15" x14ac:dyDescent="0.2">
      <c r="A8" s="81" t="s">
        <v>246</v>
      </c>
      <c r="B8" s="81"/>
      <c r="C8" s="82"/>
      <c r="D8" s="82"/>
      <c r="E8" s="82"/>
      <c r="F8" s="82"/>
      <c r="G8" s="82"/>
      <c r="H8" s="82"/>
      <c r="I8" s="82"/>
      <c r="J8" s="82"/>
      <c r="K8" s="82"/>
    </row>
    <row r="9" spans="1:12" x14ac:dyDescent="0.2">
      <c r="A9" s="10" t="s">
        <v>16</v>
      </c>
      <c r="B9" s="7" t="s">
        <v>833</v>
      </c>
      <c r="C9" s="7" t="s">
        <v>834</v>
      </c>
      <c r="D9" s="7" t="s">
        <v>835</v>
      </c>
      <c r="E9" s="7" t="s">
        <v>20</v>
      </c>
      <c r="F9" s="7" t="s">
        <v>69</v>
      </c>
      <c r="G9" s="8" t="s">
        <v>98</v>
      </c>
      <c r="H9" s="8" t="s">
        <v>99</v>
      </c>
      <c r="I9" s="8" t="s">
        <v>123</v>
      </c>
      <c r="J9" s="10"/>
      <c r="K9" s="10" t="str">
        <f>"180,0"</f>
        <v>180,0</v>
      </c>
      <c r="L9" s="7" t="s">
        <v>59</v>
      </c>
    </row>
    <row r="10" spans="1:12" x14ac:dyDescent="0.2">
      <c r="B10" s="5" t="s">
        <v>38</v>
      </c>
    </row>
    <row r="11" spans="1:12" ht="15" x14ac:dyDescent="0.2">
      <c r="A11" s="81" t="s">
        <v>295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</row>
    <row r="12" spans="1:12" x14ac:dyDescent="0.2">
      <c r="A12" s="10" t="s">
        <v>16</v>
      </c>
      <c r="B12" s="7" t="s">
        <v>1951</v>
      </c>
      <c r="C12" s="7" t="s">
        <v>1952</v>
      </c>
      <c r="D12" s="7" t="s">
        <v>1953</v>
      </c>
      <c r="E12" s="7" t="s">
        <v>20</v>
      </c>
      <c r="F12" s="7" t="s">
        <v>69</v>
      </c>
      <c r="G12" s="9" t="s">
        <v>99</v>
      </c>
      <c r="H12" s="8" t="s">
        <v>99</v>
      </c>
      <c r="I12" s="9" t="s">
        <v>123</v>
      </c>
      <c r="J12" s="10"/>
      <c r="K12" s="10" t="str">
        <f>"170,0"</f>
        <v>170,0</v>
      </c>
      <c r="L12" s="7" t="s">
        <v>59</v>
      </c>
    </row>
    <row r="13" spans="1:12" x14ac:dyDescent="0.2">
      <c r="B13" s="5" t="s">
        <v>38</v>
      </c>
    </row>
    <row r="14" spans="1:12" ht="15" x14ac:dyDescent="0.2">
      <c r="A14" s="81" t="s">
        <v>323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</row>
    <row r="15" spans="1:12" x14ac:dyDescent="0.2">
      <c r="A15" s="14" t="s">
        <v>16</v>
      </c>
      <c r="B15" s="11" t="s">
        <v>1917</v>
      </c>
      <c r="C15" s="11" t="s">
        <v>1945</v>
      </c>
      <c r="D15" s="11" t="s">
        <v>1762</v>
      </c>
      <c r="E15" s="11" t="s">
        <v>190</v>
      </c>
      <c r="F15" s="11" t="s">
        <v>1919</v>
      </c>
      <c r="G15" s="13" t="s">
        <v>125</v>
      </c>
      <c r="H15" s="13" t="s">
        <v>136</v>
      </c>
      <c r="I15" s="12" t="s">
        <v>109</v>
      </c>
      <c r="J15" s="14"/>
      <c r="K15" s="14" t="str">
        <f>"150,0"</f>
        <v>150,0</v>
      </c>
      <c r="L15" s="11" t="s">
        <v>59</v>
      </c>
    </row>
    <row r="16" spans="1:12" x14ac:dyDescent="0.2">
      <c r="A16" s="21" t="s">
        <v>16</v>
      </c>
      <c r="B16" s="19" t="s">
        <v>1917</v>
      </c>
      <c r="C16" s="19" t="s">
        <v>1918</v>
      </c>
      <c r="D16" s="19" t="s">
        <v>1762</v>
      </c>
      <c r="E16" s="19" t="s">
        <v>190</v>
      </c>
      <c r="F16" s="19" t="s">
        <v>1919</v>
      </c>
      <c r="G16" s="20" t="s">
        <v>125</v>
      </c>
      <c r="H16" s="20" t="s">
        <v>136</v>
      </c>
      <c r="I16" s="22" t="s">
        <v>109</v>
      </c>
      <c r="J16" s="21"/>
      <c r="K16" s="21" t="str">
        <f>"150,0"</f>
        <v>150,0</v>
      </c>
      <c r="L16" s="19" t="s">
        <v>59</v>
      </c>
    </row>
    <row r="17" spans="1:12" x14ac:dyDescent="0.2">
      <c r="B17" s="5" t="s">
        <v>38</v>
      </c>
    </row>
    <row r="18" spans="1:12" ht="15" x14ac:dyDescent="0.2">
      <c r="A18" s="81" t="s">
        <v>1954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</row>
    <row r="19" spans="1:12" x14ac:dyDescent="0.2">
      <c r="A19" s="14" t="s">
        <v>16</v>
      </c>
      <c r="B19" s="11" t="s">
        <v>1852</v>
      </c>
      <c r="C19" s="11" t="s">
        <v>1853</v>
      </c>
      <c r="D19" s="11" t="s">
        <v>1854</v>
      </c>
      <c r="E19" s="11" t="s">
        <v>20</v>
      </c>
      <c r="F19" s="11" t="s">
        <v>1855</v>
      </c>
      <c r="G19" s="13" t="s">
        <v>124</v>
      </c>
      <c r="H19" s="13" t="s">
        <v>143</v>
      </c>
      <c r="I19" s="12" t="s">
        <v>1955</v>
      </c>
      <c r="J19" s="14"/>
      <c r="K19" s="14" t="str">
        <f>"200,0"</f>
        <v>200,0</v>
      </c>
      <c r="L19" s="11" t="s">
        <v>59</v>
      </c>
    </row>
    <row r="20" spans="1:12" x14ac:dyDescent="0.2">
      <c r="A20" s="21" t="s">
        <v>16</v>
      </c>
      <c r="B20" s="19" t="s">
        <v>1852</v>
      </c>
      <c r="C20" s="19" t="s">
        <v>1857</v>
      </c>
      <c r="D20" s="19" t="s">
        <v>1854</v>
      </c>
      <c r="E20" s="19" t="s">
        <v>20</v>
      </c>
      <c r="F20" s="19" t="s">
        <v>1855</v>
      </c>
      <c r="G20" s="20" t="s">
        <v>124</v>
      </c>
      <c r="H20" s="20" t="s">
        <v>143</v>
      </c>
      <c r="I20" s="22" t="s">
        <v>1955</v>
      </c>
      <c r="J20" s="21"/>
      <c r="K20" s="21" t="str">
        <f>"200,0"</f>
        <v>200,0</v>
      </c>
      <c r="L20" s="19" t="s">
        <v>59</v>
      </c>
    </row>
    <row r="21" spans="1:12" x14ac:dyDescent="0.2">
      <c r="B21" s="5" t="s">
        <v>38</v>
      </c>
    </row>
  </sheetData>
  <mergeCells count="15">
    <mergeCell ref="A14:K14"/>
    <mergeCell ref="A18:K18"/>
    <mergeCell ref="B3:B4"/>
    <mergeCell ref="K3:K4"/>
    <mergeCell ref="L3:L4"/>
    <mergeCell ref="A5:K5"/>
    <mergeCell ref="A8:K8"/>
    <mergeCell ref="A11:K11"/>
    <mergeCell ref="A1:L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7"/>
  <sheetViews>
    <sheetView workbookViewId="0">
      <selection sqref="A1:L2"/>
    </sheetView>
  </sheetViews>
  <sheetFormatPr defaultColWidth="9.140625" defaultRowHeight="12.75" x14ac:dyDescent="0.2"/>
  <cols>
    <col min="1" max="1" width="7.42578125" style="6" bestFit="1" customWidth="1"/>
    <col min="2" max="2" width="22.140625" style="5" bestFit="1" customWidth="1"/>
    <col min="3" max="3" width="28.42578125" style="5" bestFit="1" customWidth="1"/>
    <col min="4" max="4" width="21.42578125" style="5" bestFit="1" customWidth="1"/>
    <col min="5" max="5" width="22.7109375" style="5" bestFit="1" customWidth="1"/>
    <col min="6" max="6" width="23.85546875" style="5" customWidth="1"/>
    <col min="7" max="8" width="4.42578125" style="6" bestFit="1" customWidth="1"/>
    <col min="9" max="9" width="5.42578125" style="6" bestFit="1" customWidth="1"/>
    <col min="10" max="10" width="4.85546875" style="6" bestFit="1" customWidth="1"/>
    <col min="11" max="11" width="7.85546875" style="6" bestFit="1" customWidth="1"/>
    <col min="12" max="12" width="24.85546875" style="5" customWidth="1"/>
    <col min="13" max="16384" width="9.140625" style="3"/>
  </cols>
  <sheetData>
    <row r="1" spans="1:12" s="2" customFormat="1" ht="29.1" customHeight="1" x14ac:dyDescent="0.2">
      <c r="A1" s="83" t="s">
        <v>1956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6</v>
      </c>
      <c r="F3" s="94" t="s">
        <v>7</v>
      </c>
      <c r="G3" s="94" t="s">
        <v>1929</v>
      </c>
      <c r="H3" s="94"/>
      <c r="I3" s="94"/>
      <c r="J3" s="94"/>
      <c r="K3" s="94" t="s">
        <v>11</v>
      </c>
      <c r="L3" s="77" t="s">
        <v>13</v>
      </c>
    </row>
    <row r="4" spans="1:12" s="1" customFormat="1" ht="21" customHeight="1" thickBot="1" x14ac:dyDescent="0.25">
      <c r="A4" s="91"/>
      <c r="B4" s="96"/>
      <c r="C4" s="93"/>
      <c r="D4" s="93"/>
      <c r="E4" s="93"/>
      <c r="F4" s="93"/>
      <c r="G4" s="74">
        <v>1</v>
      </c>
      <c r="H4" s="74">
        <v>2</v>
      </c>
      <c r="I4" s="74">
        <v>3</v>
      </c>
      <c r="J4" s="74" t="s">
        <v>14</v>
      </c>
      <c r="K4" s="93"/>
      <c r="L4" s="78"/>
    </row>
    <row r="5" spans="1:12" ht="15" x14ac:dyDescent="0.2">
      <c r="A5" s="79" t="s">
        <v>131</v>
      </c>
      <c r="B5" s="79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0" t="s">
        <v>16</v>
      </c>
      <c r="B6" s="7" t="s">
        <v>1948</v>
      </c>
      <c r="C6" s="7" t="s">
        <v>1949</v>
      </c>
      <c r="D6" s="7" t="s">
        <v>1950</v>
      </c>
      <c r="E6" s="7" t="s">
        <v>20</v>
      </c>
      <c r="F6" s="7" t="s">
        <v>429</v>
      </c>
      <c r="G6" s="8" t="s">
        <v>27</v>
      </c>
      <c r="H6" s="8" t="s">
        <v>44</v>
      </c>
      <c r="I6" s="9" t="s">
        <v>70</v>
      </c>
      <c r="J6" s="10"/>
      <c r="K6" s="10" t="str">
        <f>"50,0"</f>
        <v>50,0</v>
      </c>
      <c r="L6" s="7" t="s">
        <v>59</v>
      </c>
    </row>
    <row r="7" spans="1:12" x14ac:dyDescent="0.2">
      <c r="B7" s="5" t="s">
        <v>38</v>
      </c>
    </row>
    <row r="8" spans="1:12" ht="15" x14ac:dyDescent="0.2">
      <c r="A8" s="81" t="s">
        <v>246</v>
      </c>
      <c r="B8" s="81"/>
      <c r="C8" s="82"/>
      <c r="D8" s="82"/>
      <c r="E8" s="82"/>
      <c r="F8" s="82"/>
      <c r="G8" s="82"/>
      <c r="H8" s="82"/>
      <c r="I8" s="82"/>
      <c r="J8" s="82"/>
      <c r="K8" s="82"/>
    </row>
    <row r="9" spans="1:12" x14ac:dyDescent="0.2">
      <c r="A9" s="10" t="s">
        <v>16</v>
      </c>
      <c r="B9" s="7" t="s">
        <v>1905</v>
      </c>
      <c r="C9" s="7" t="s">
        <v>1906</v>
      </c>
      <c r="D9" s="7" t="s">
        <v>1092</v>
      </c>
      <c r="E9" s="7" t="s">
        <v>20</v>
      </c>
      <c r="F9" s="7" t="s">
        <v>791</v>
      </c>
      <c r="G9" s="8" t="s">
        <v>23</v>
      </c>
      <c r="H9" s="8" t="s">
        <v>29</v>
      </c>
      <c r="I9" s="9" t="s">
        <v>37</v>
      </c>
      <c r="J9" s="10"/>
      <c r="K9" s="10" t="str">
        <f>"95,0"</f>
        <v>95,0</v>
      </c>
      <c r="L9" s="7" t="s">
        <v>59</v>
      </c>
    </row>
    <row r="10" spans="1:12" x14ac:dyDescent="0.2">
      <c r="B10" s="5" t="s">
        <v>38</v>
      </c>
    </row>
    <row r="11" spans="1:12" ht="15" x14ac:dyDescent="0.2">
      <c r="A11" s="81" t="s">
        <v>295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</row>
    <row r="12" spans="1:12" x14ac:dyDescent="0.2">
      <c r="A12" s="10" t="s">
        <v>16</v>
      </c>
      <c r="B12" s="7" t="s">
        <v>1561</v>
      </c>
      <c r="C12" s="7" t="s">
        <v>840</v>
      </c>
      <c r="D12" s="7" t="s">
        <v>1562</v>
      </c>
      <c r="E12" s="7" t="s">
        <v>20</v>
      </c>
      <c r="F12" s="7" t="s">
        <v>69</v>
      </c>
      <c r="G12" s="9" t="s">
        <v>23</v>
      </c>
      <c r="H12" s="8" t="s">
        <v>23</v>
      </c>
      <c r="I12" s="9" t="s">
        <v>373</v>
      </c>
      <c r="J12" s="10"/>
      <c r="K12" s="10" t="str">
        <f>"75,0"</f>
        <v>75,0</v>
      </c>
      <c r="L12" s="7" t="s">
        <v>1563</v>
      </c>
    </row>
    <row r="13" spans="1:12" x14ac:dyDescent="0.2">
      <c r="B13" s="5" t="s">
        <v>38</v>
      </c>
    </row>
    <row r="14" spans="1:12" ht="15" x14ac:dyDescent="0.2">
      <c r="A14" s="81" t="s">
        <v>323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</row>
    <row r="15" spans="1:12" x14ac:dyDescent="0.2">
      <c r="A15" s="14" t="s">
        <v>16</v>
      </c>
      <c r="B15" s="11" t="s">
        <v>1917</v>
      </c>
      <c r="C15" s="11" t="s">
        <v>1945</v>
      </c>
      <c r="D15" s="11" t="s">
        <v>841</v>
      </c>
      <c r="E15" s="11" t="s">
        <v>190</v>
      </c>
      <c r="F15" s="11" t="s">
        <v>1919</v>
      </c>
      <c r="G15" s="12" t="s">
        <v>23</v>
      </c>
      <c r="H15" s="13" t="s">
        <v>23</v>
      </c>
      <c r="I15" s="12" t="s">
        <v>35</v>
      </c>
      <c r="J15" s="14"/>
      <c r="K15" s="14" t="str">
        <f>"75,0"</f>
        <v>75,0</v>
      </c>
      <c r="L15" s="11" t="s">
        <v>59</v>
      </c>
    </row>
    <row r="16" spans="1:12" x14ac:dyDescent="0.2">
      <c r="A16" s="21" t="s">
        <v>16</v>
      </c>
      <c r="B16" s="19" t="s">
        <v>1917</v>
      </c>
      <c r="C16" s="19" t="s">
        <v>1918</v>
      </c>
      <c r="D16" s="19" t="s">
        <v>841</v>
      </c>
      <c r="E16" s="19" t="s">
        <v>190</v>
      </c>
      <c r="F16" s="19" t="s">
        <v>1919</v>
      </c>
      <c r="G16" s="22" t="s">
        <v>23</v>
      </c>
      <c r="H16" s="20" t="s">
        <v>23</v>
      </c>
      <c r="I16" s="22" t="s">
        <v>35</v>
      </c>
      <c r="J16" s="21"/>
      <c r="K16" s="21" t="str">
        <f>"75,0"</f>
        <v>75,0</v>
      </c>
      <c r="L16" s="19" t="s">
        <v>59</v>
      </c>
    </row>
    <row r="17" spans="2:2" x14ac:dyDescent="0.2">
      <c r="B17" s="5" t="s">
        <v>38</v>
      </c>
    </row>
  </sheetData>
  <mergeCells count="14">
    <mergeCell ref="A14:K14"/>
    <mergeCell ref="B3:B4"/>
    <mergeCell ref="K3:K4"/>
    <mergeCell ref="L3:L4"/>
    <mergeCell ref="A5:K5"/>
    <mergeCell ref="A8:K8"/>
    <mergeCell ref="A11:K11"/>
    <mergeCell ref="A1:L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L15"/>
  <sheetViews>
    <sheetView workbookViewId="0">
      <selection sqref="A1:L2"/>
    </sheetView>
  </sheetViews>
  <sheetFormatPr defaultColWidth="9.140625" defaultRowHeight="12.75" x14ac:dyDescent="0.2"/>
  <cols>
    <col min="1" max="1" width="7.42578125" style="6" bestFit="1" customWidth="1"/>
    <col min="2" max="2" width="18.42578125" style="5" bestFit="1" customWidth="1"/>
    <col min="3" max="3" width="28.42578125" style="5" bestFit="1" customWidth="1"/>
    <col min="4" max="4" width="21.42578125" style="5" bestFit="1" customWidth="1"/>
    <col min="5" max="5" width="22.7109375" style="5" bestFit="1" customWidth="1"/>
    <col min="6" max="6" width="22.140625" style="5" customWidth="1"/>
    <col min="7" max="9" width="4.42578125" style="6" bestFit="1" customWidth="1"/>
    <col min="10" max="10" width="4.85546875" style="6" bestFit="1" customWidth="1"/>
    <col min="11" max="11" width="7.85546875" style="6" bestFit="1" customWidth="1"/>
    <col min="12" max="12" width="27.42578125" style="5" customWidth="1"/>
    <col min="13" max="16384" width="9.140625" style="3"/>
  </cols>
  <sheetData>
    <row r="1" spans="1:12" s="2" customFormat="1" ht="29.1" customHeight="1" x14ac:dyDescent="0.2">
      <c r="A1" s="83" t="s">
        <v>1957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6</v>
      </c>
      <c r="F3" s="94" t="s">
        <v>7</v>
      </c>
      <c r="G3" s="94" t="s">
        <v>1929</v>
      </c>
      <c r="H3" s="94"/>
      <c r="I3" s="94"/>
      <c r="J3" s="94"/>
      <c r="K3" s="94" t="s">
        <v>11</v>
      </c>
      <c r="L3" s="77" t="s">
        <v>13</v>
      </c>
    </row>
    <row r="4" spans="1:12" s="1" customFormat="1" ht="21" customHeight="1" thickBot="1" x14ac:dyDescent="0.25">
      <c r="A4" s="91"/>
      <c r="B4" s="96"/>
      <c r="C4" s="93"/>
      <c r="D4" s="93"/>
      <c r="E4" s="93"/>
      <c r="F4" s="93"/>
      <c r="G4" s="74">
        <v>1</v>
      </c>
      <c r="H4" s="74">
        <v>2</v>
      </c>
      <c r="I4" s="74">
        <v>3</v>
      </c>
      <c r="J4" s="74" t="s">
        <v>14</v>
      </c>
      <c r="K4" s="93"/>
      <c r="L4" s="78"/>
    </row>
    <row r="5" spans="1:12" ht="15" x14ac:dyDescent="0.2">
      <c r="A5" s="79" t="s">
        <v>131</v>
      </c>
      <c r="B5" s="79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4" t="s">
        <v>16</v>
      </c>
      <c r="B6" s="11" t="s">
        <v>1958</v>
      </c>
      <c r="C6" s="11" t="s">
        <v>1959</v>
      </c>
      <c r="D6" s="11" t="s">
        <v>1960</v>
      </c>
      <c r="E6" s="11" t="s">
        <v>20</v>
      </c>
      <c r="F6" s="11" t="s">
        <v>579</v>
      </c>
      <c r="G6" s="13" t="s">
        <v>1961</v>
      </c>
      <c r="H6" s="13" t="s">
        <v>1962</v>
      </c>
      <c r="I6" s="12" t="s">
        <v>1963</v>
      </c>
      <c r="J6" s="14"/>
      <c r="K6" s="14" t="str">
        <f>"51,0"</f>
        <v>51,0</v>
      </c>
      <c r="L6" s="11" t="s">
        <v>59</v>
      </c>
    </row>
    <row r="7" spans="1:12" x14ac:dyDescent="0.2">
      <c r="A7" s="21" t="s">
        <v>16</v>
      </c>
      <c r="B7" s="19" t="s">
        <v>1948</v>
      </c>
      <c r="C7" s="19" t="s">
        <v>1949</v>
      </c>
      <c r="D7" s="19" t="s">
        <v>1950</v>
      </c>
      <c r="E7" s="19" t="s">
        <v>20</v>
      </c>
      <c r="F7" s="19" t="s">
        <v>429</v>
      </c>
      <c r="G7" s="20" t="s">
        <v>1964</v>
      </c>
      <c r="H7" s="20" t="s">
        <v>1965</v>
      </c>
      <c r="I7" s="20" t="s">
        <v>1966</v>
      </c>
      <c r="J7" s="21"/>
      <c r="K7" s="21" t="str">
        <f>"36,0"</f>
        <v>36,0</v>
      </c>
      <c r="L7" s="19" t="s">
        <v>59</v>
      </c>
    </row>
    <row r="8" spans="1:12" x14ac:dyDescent="0.2">
      <c r="B8" s="5" t="s">
        <v>38</v>
      </c>
    </row>
    <row r="9" spans="1:12" ht="15" x14ac:dyDescent="0.2">
      <c r="A9" s="81" t="s">
        <v>295</v>
      </c>
      <c r="B9" s="81"/>
      <c r="C9" s="82"/>
      <c r="D9" s="82"/>
      <c r="E9" s="82"/>
      <c r="F9" s="82"/>
      <c r="G9" s="82"/>
      <c r="H9" s="82"/>
      <c r="I9" s="82"/>
      <c r="J9" s="82"/>
      <c r="K9" s="82"/>
    </row>
    <row r="10" spans="1:12" x14ac:dyDescent="0.2">
      <c r="A10" s="10" t="s">
        <v>16</v>
      </c>
      <c r="B10" s="7" t="s">
        <v>1561</v>
      </c>
      <c r="C10" s="7" t="s">
        <v>840</v>
      </c>
      <c r="D10" s="7" t="s">
        <v>1562</v>
      </c>
      <c r="E10" s="7" t="s">
        <v>20</v>
      </c>
      <c r="F10" s="7" t="s">
        <v>69</v>
      </c>
      <c r="G10" s="8" t="s">
        <v>1967</v>
      </c>
      <c r="H10" s="8" t="s">
        <v>1968</v>
      </c>
      <c r="I10" s="9" t="s">
        <v>1969</v>
      </c>
      <c r="J10" s="10"/>
      <c r="K10" s="10" t="str">
        <f>"61,0"</f>
        <v>61,0</v>
      </c>
      <c r="L10" s="7" t="s">
        <v>1563</v>
      </c>
    </row>
    <row r="11" spans="1:12" x14ac:dyDescent="0.2">
      <c r="B11" s="5" t="s">
        <v>38</v>
      </c>
    </row>
    <row r="12" spans="1:12" ht="15" x14ac:dyDescent="0.2">
      <c r="A12" s="81" t="s">
        <v>323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</row>
    <row r="13" spans="1:12" x14ac:dyDescent="0.2">
      <c r="A13" s="14" t="s">
        <v>16</v>
      </c>
      <c r="B13" s="11" t="s">
        <v>1917</v>
      </c>
      <c r="C13" s="11" t="s">
        <v>1945</v>
      </c>
      <c r="D13" s="11" t="s">
        <v>841</v>
      </c>
      <c r="E13" s="11" t="s">
        <v>190</v>
      </c>
      <c r="F13" s="11" t="s">
        <v>1919</v>
      </c>
      <c r="G13" s="13" t="s">
        <v>1970</v>
      </c>
      <c r="H13" s="12" t="s">
        <v>1971</v>
      </c>
      <c r="I13" s="12" t="s">
        <v>1971</v>
      </c>
      <c r="J13" s="14"/>
      <c r="K13" s="14" t="str">
        <f>"81,0"</f>
        <v>81,0</v>
      </c>
      <c r="L13" s="11" t="s">
        <v>59</v>
      </c>
    </row>
    <row r="14" spans="1:12" x14ac:dyDescent="0.2">
      <c r="A14" s="21" t="s">
        <v>16</v>
      </c>
      <c r="B14" s="19" t="s">
        <v>1917</v>
      </c>
      <c r="C14" s="19" t="s">
        <v>1918</v>
      </c>
      <c r="D14" s="19" t="s">
        <v>841</v>
      </c>
      <c r="E14" s="19" t="s">
        <v>190</v>
      </c>
      <c r="F14" s="19" t="s">
        <v>1919</v>
      </c>
      <c r="G14" s="20" t="s">
        <v>1970</v>
      </c>
      <c r="H14" s="22" t="s">
        <v>1971</v>
      </c>
      <c r="I14" s="22" t="s">
        <v>1971</v>
      </c>
      <c r="J14" s="21"/>
      <c r="K14" s="21" t="str">
        <f>"81,0"</f>
        <v>81,0</v>
      </c>
      <c r="L14" s="19" t="s">
        <v>59</v>
      </c>
    </row>
    <row r="15" spans="1:12" x14ac:dyDescent="0.2">
      <c r="B15" s="5" t="s">
        <v>38</v>
      </c>
    </row>
  </sheetData>
  <mergeCells count="13">
    <mergeCell ref="A5:K5"/>
    <mergeCell ref="A9:K9"/>
    <mergeCell ref="A12:K12"/>
    <mergeCell ref="B3:B4"/>
    <mergeCell ref="A1:L2"/>
    <mergeCell ref="A3:A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L19"/>
  <sheetViews>
    <sheetView workbookViewId="0">
      <selection sqref="A1:L2"/>
    </sheetView>
  </sheetViews>
  <sheetFormatPr defaultColWidth="9.140625" defaultRowHeight="12.75" x14ac:dyDescent="0.2"/>
  <cols>
    <col min="1" max="1" width="7.42578125" style="6" bestFit="1" customWidth="1"/>
    <col min="2" max="2" width="25.7109375" style="5" customWidth="1"/>
    <col min="3" max="3" width="28.42578125" style="5" bestFit="1" customWidth="1"/>
    <col min="4" max="4" width="21.42578125" style="5" bestFit="1" customWidth="1"/>
    <col min="5" max="5" width="22.7109375" style="5" bestFit="1" customWidth="1"/>
    <col min="6" max="6" width="19.140625" style="5" bestFit="1" customWidth="1"/>
    <col min="7" max="9" width="4.42578125" style="6" bestFit="1" customWidth="1"/>
    <col min="10" max="10" width="4.85546875" style="6" bestFit="1" customWidth="1"/>
    <col min="11" max="11" width="7.85546875" style="6" bestFit="1" customWidth="1"/>
    <col min="12" max="12" width="24" style="5" customWidth="1"/>
    <col min="13" max="16384" width="9.140625" style="3"/>
  </cols>
  <sheetData>
    <row r="1" spans="1:12" s="2" customFormat="1" ht="29.1" customHeight="1" x14ac:dyDescent="0.2">
      <c r="A1" s="83" t="s">
        <v>1972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6</v>
      </c>
      <c r="F3" s="94" t="s">
        <v>7</v>
      </c>
      <c r="G3" s="94" t="s">
        <v>1929</v>
      </c>
      <c r="H3" s="94"/>
      <c r="I3" s="94"/>
      <c r="J3" s="94"/>
      <c r="K3" s="94" t="s">
        <v>11</v>
      </c>
      <c r="L3" s="77" t="s">
        <v>13</v>
      </c>
    </row>
    <row r="4" spans="1:12" s="1" customFormat="1" ht="21" customHeight="1" thickBot="1" x14ac:dyDescent="0.25">
      <c r="A4" s="91"/>
      <c r="B4" s="96"/>
      <c r="C4" s="93"/>
      <c r="D4" s="93"/>
      <c r="E4" s="93"/>
      <c r="F4" s="93"/>
      <c r="G4" s="74">
        <v>1</v>
      </c>
      <c r="H4" s="74">
        <v>2</v>
      </c>
      <c r="I4" s="74">
        <v>3</v>
      </c>
      <c r="J4" s="74" t="s">
        <v>14</v>
      </c>
      <c r="K4" s="93"/>
      <c r="L4" s="78"/>
    </row>
    <row r="5" spans="1:12" ht="15" x14ac:dyDescent="0.2">
      <c r="A5" s="79" t="s">
        <v>131</v>
      </c>
      <c r="B5" s="79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0" t="s">
        <v>16</v>
      </c>
      <c r="B6" s="7" t="s">
        <v>1958</v>
      </c>
      <c r="C6" s="7" t="s">
        <v>1959</v>
      </c>
      <c r="D6" s="7" t="s">
        <v>1960</v>
      </c>
      <c r="E6" s="7" t="s">
        <v>20</v>
      </c>
      <c r="F6" s="7" t="s">
        <v>579</v>
      </c>
      <c r="G6" s="8" t="s">
        <v>1973</v>
      </c>
      <c r="H6" s="8" t="s">
        <v>1974</v>
      </c>
      <c r="I6" s="8" t="s">
        <v>370</v>
      </c>
      <c r="J6" s="10"/>
      <c r="K6" s="10" t="str">
        <f>"25,0"</f>
        <v>25,0</v>
      </c>
      <c r="L6" s="7" t="s">
        <v>59</v>
      </c>
    </row>
    <row r="7" spans="1:12" x14ac:dyDescent="0.2">
      <c r="B7" s="5" t="s">
        <v>38</v>
      </c>
    </row>
    <row r="8" spans="1:12" ht="15" x14ac:dyDescent="0.2">
      <c r="A8" s="81" t="s">
        <v>1930</v>
      </c>
      <c r="B8" s="81"/>
      <c r="C8" s="82"/>
      <c r="D8" s="82"/>
      <c r="E8" s="82"/>
      <c r="F8" s="82"/>
      <c r="G8" s="82"/>
      <c r="H8" s="82"/>
      <c r="I8" s="82"/>
      <c r="J8" s="82"/>
      <c r="K8" s="82"/>
    </row>
    <row r="9" spans="1:12" x14ac:dyDescent="0.2">
      <c r="A9" s="14" t="s">
        <v>16</v>
      </c>
      <c r="B9" s="11" t="s">
        <v>1975</v>
      </c>
      <c r="C9" s="11" t="s">
        <v>1976</v>
      </c>
      <c r="D9" s="11" t="s">
        <v>1977</v>
      </c>
      <c r="E9" s="11" t="s">
        <v>20</v>
      </c>
      <c r="F9" s="11" t="s">
        <v>1978</v>
      </c>
      <c r="G9" s="13" t="s">
        <v>371</v>
      </c>
      <c r="H9" s="13" t="s">
        <v>372</v>
      </c>
      <c r="I9" s="13" t="s">
        <v>1979</v>
      </c>
      <c r="J9" s="12" t="s">
        <v>1980</v>
      </c>
      <c r="K9" s="14" t="str">
        <f>"31,3"</f>
        <v>31,3</v>
      </c>
      <c r="L9" s="11" t="s">
        <v>59</v>
      </c>
    </row>
    <row r="10" spans="1:12" x14ac:dyDescent="0.2">
      <c r="A10" s="21" t="s">
        <v>60</v>
      </c>
      <c r="B10" s="19" t="s">
        <v>1981</v>
      </c>
      <c r="C10" s="19" t="s">
        <v>1982</v>
      </c>
      <c r="D10" s="19" t="s">
        <v>1983</v>
      </c>
      <c r="E10" s="19" t="s">
        <v>20</v>
      </c>
      <c r="F10" s="19" t="s">
        <v>201</v>
      </c>
      <c r="G10" s="20" t="s">
        <v>371</v>
      </c>
      <c r="H10" s="20" t="s">
        <v>372</v>
      </c>
      <c r="I10" s="22" t="s">
        <v>1984</v>
      </c>
      <c r="J10" s="21"/>
      <c r="K10" s="21" t="str">
        <f>"30,0"</f>
        <v>30,0</v>
      </c>
      <c r="L10" s="19" t="s">
        <v>59</v>
      </c>
    </row>
    <row r="11" spans="1:12" x14ac:dyDescent="0.2">
      <c r="B11" s="5" t="s">
        <v>38</v>
      </c>
    </row>
    <row r="12" spans="1:12" ht="15" x14ac:dyDescent="0.2">
      <c r="A12" s="81" t="s">
        <v>246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</row>
    <row r="13" spans="1:12" x14ac:dyDescent="0.2">
      <c r="A13" s="10" t="s">
        <v>16</v>
      </c>
      <c r="B13" s="7" t="s">
        <v>1985</v>
      </c>
      <c r="C13" s="7" t="s">
        <v>1986</v>
      </c>
      <c r="D13" s="7" t="s">
        <v>1676</v>
      </c>
      <c r="E13" s="7" t="s">
        <v>20</v>
      </c>
      <c r="F13" s="7" t="s">
        <v>69</v>
      </c>
      <c r="G13" s="8" t="s">
        <v>372</v>
      </c>
      <c r="H13" s="9" t="s">
        <v>1987</v>
      </c>
      <c r="I13" s="8" t="s">
        <v>1987</v>
      </c>
      <c r="J13" s="8" t="s">
        <v>1988</v>
      </c>
      <c r="K13" s="10" t="str">
        <f>"33,8"</f>
        <v>33,8</v>
      </c>
      <c r="L13" s="7" t="s">
        <v>59</v>
      </c>
    </row>
    <row r="14" spans="1:12" x14ac:dyDescent="0.2">
      <c r="B14" s="5" t="s">
        <v>38</v>
      </c>
    </row>
    <row r="15" spans="1:12" ht="15" x14ac:dyDescent="0.2">
      <c r="A15" s="81" t="s">
        <v>323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</row>
    <row r="16" spans="1:12" x14ac:dyDescent="0.2">
      <c r="A16" s="14" t="s">
        <v>16</v>
      </c>
      <c r="B16" s="11" t="s">
        <v>1989</v>
      </c>
      <c r="C16" s="11" t="s">
        <v>1990</v>
      </c>
      <c r="D16" s="49" t="s">
        <v>1991</v>
      </c>
      <c r="E16" s="11" t="s">
        <v>20</v>
      </c>
      <c r="F16" s="40" t="s">
        <v>865</v>
      </c>
      <c r="G16" s="64" t="s">
        <v>371</v>
      </c>
      <c r="H16" s="13" t="s">
        <v>1984</v>
      </c>
      <c r="I16" s="12" t="s">
        <v>1980</v>
      </c>
      <c r="J16" s="14"/>
      <c r="K16" s="14" t="str">
        <f>"32,5"</f>
        <v>32,5</v>
      </c>
      <c r="L16" s="11" t="s">
        <v>59</v>
      </c>
    </row>
    <row r="17" spans="1:12" x14ac:dyDescent="0.2">
      <c r="A17" s="17" t="s">
        <v>60</v>
      </c>
      <c r="B17" s="15" t="s">
        <v>1917</v>
      </c>
      <c r="C17" s="15" t="s">
        <v>1945</v>
      </c>
      <c r="D17" s="50" t="s">
        <v>841</v>
      </c>
      <c r="E17" s="15" t="s">
        <v>190</v>
      </c>
      <c r="F17" s="42" t="s">
        <v>1919</v>
      </c>
      <c r="G17" s="65" t="s">
        <v>370</v>
      </c>
      <c r="H17" s="18" t="s">
        <v>371</v>
      </c>
      <c r="I17" s="18" t="s">
        <v>371</v>
      </c>
      <c r="J17" s="17"/>
      <c r="K17" s="17" t="str">
        <f>"25,0"</f>
        <v>25,0</v>
      </c>
      <c r="L17" s="15" t="s">
        <v>59</v>
      </c>
    </row>
    <row r="18" spans="1:12" x14ac:dyDescent="0.2">
      <c r="A18" s="21" t="s">
        <v>16</v>
      </c>
      <c r="B18" s="19" t="s">
        <v>1917</v>
      </c>
      <c r="C18" s="19" t="s">
        <v>1918</v>
      </c>
      <c r="D18" s="51" t="s">
        <v>841</v>
      </c>
      <c r="E18" s="19" t="s">
        <v>190</v>
      </c>
      <c r="F18" s="48" t="s">
        <v>1919</v>
      </c>
      <c r="G18" s="69" t="s">
        <v>370</v>
      </c>
      <c r="H18" s="22" t="s">
        <v>371</v>
      </c>
      <c r="I18" s="22" t="s">
        <v>371</v>
      </c>
      <c r="J18" s="21"/>
      <c r="K18" s="21" t="str">
        <f>"25,0"</f>
        <v>25,0</v>
      </c>
      <c r="L18" s="19" t="s">
        <v>59</v>
      </c>
    </row>
    <row r="19" spans="1:12" x14ac:dyDescent="0.2">
      <c r="B19" s="5" t="s">
        <v>38</v>
      </c>
    </row>
  </sheetData>
  <mergeCells count="14">
    <mergeCell ref="A15:K15"/>
    <mergeCell ref="B3:B4"/>
    <mergeCell ref="K3:K4"/>
    <mergeCell ref="L3:L4"/>
    <mergeCell ref="A5:K5"/>
    <mergeCell ref="A8:K8"/>
    <mergeCell ref="A12:K12"/>
    <mergeCell ref="A1:L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H12"/>
  <sheetViews>
    <sheetView workbookViewId="0">
      <selection sqref="A1:H2"/>
    </sheetView>
  </sheetViews>
  <sheetFormatPr defaultColWidth="9.140625" defaultRowHeight="12.75" x14ac:dyDescent="0.2"/>
  <cols>
    <col min="1" max="1" width="7.42578125" style="6" bestFit="1" customWidth="1"/>
    <col min="2" max="2" width="18.42578125" style="5" bestFit="1" customWidth="1"/>
    <col min="3" max="3" width="28.42578125" style="5" bestFit="1" customWidth="1"/>
    <col min="4" max="4" width="17.28515625" style="5" customWidth="1"/>
    <col min="5" max="5" width="22.7109375" style="5" bestFit="1" customWidth="1"/>
    <col min="6" max="6" width="18.42578125" style="5" bestFit="1" customWidth="1"/>
    <col min="7" max="7" width="18" style="6" customWidth="1"/>
    <col min="8" max="8" width="27.42578125" style="5" customWidth="1"/>
    <col min="9" max="16384" width="9.140625" style="3"/>
  </cols>
  <sheetData>
    <row r="1" spans="1:8" s="2" customFormat="1" ht="29.1" customHeight="1" x14ac:dyDescent="0.2">
      <c r="A1" s="83" t="s">
        <v>1992</v>
      </c>
      <c r="B1" s="84"/>
      <c r="C1" s="85"/>
      <c r="D1" s="85"/>
      <c r="E1" s="85"/>
      <c r="F1" s="85"/>
      <c r="G1" s="85"/>
      <c r="H1" s="86"/>
    </row>
    <row r="2" spans="1:8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9"/>
    </row>
    <row r="3" spans="1:8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6</v>
      </c>
      <c r="F3" s="94" t="s">
        <v>7</v>
      </c>
      <c r="G3" s="94" t="s">
        <v>861</v>
      </c>
      <c r="H3" s="77" t="s">
        <v>13</v>
      </c>
    </row>
    <row r="4" spans="1:8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8"/>
    </row>
    <row r="5" spans="1:8" ht="15" x14ac:dyDescent="0.2">
      <c r="A5" s="79" t="s">
        <v>295</v>
      </c>
      <c r="B5" s="79"/>
      <c r="C5" s="80"/>
      <c r="D5" s="80"/>
      <c r="E5" s="80"/>
      <c r="F5" s="80"/>
      <c r="G5" s="80"/>
    </row>
    <row r="6" spans="1:8" x14ac:dyDescent="0.2">
      <c r="A6" s="10" t="s">
        <v>16</v>
      </c>
      <c r="B6" s="7" t="s">
        <v>1993</v>
      </c>
      <c r="C6" s="7" t="s">
        <v>1994</v>
      </c>
      <c r="D6" s="7" t="s">
        <v>1995</v>
      </c>
      <c r="E6" s="7" t="s">
        <v>171</v>
      </c>
      <c r="F6" s="7" t="s">
        <v>1996</v>
      </c>
      <c r="G6" s="10" t="s">
        <v>1997</v>
      </c>
      <c r="H6" s="7" t="s">
        <v>59</v>
      </c>
    </row>
    <row r="7" spans="1:8" x14ac:dyDescent="0.2">
      <c r="B7" s="5" t="s">
        <v>38</v>
      </c>
    </row>
    <row r="8" spans="1:8" ht="15" x14ac:dyDescent="0.2">
      <c r="A8" s="81" t="s">
        <v>323</v>
      </c>
      <c r="B8" s="81"/>
      <c r="C8" s="82"/>
      <c r="D8" s="82"/>
      <c r="E8" s="82"/>
      <c r="F8" s="82"/>
      <c r="G8" s="82"/>
    </row>
    <row r="9" spans="1:8" x14ac:dyDescent="0.2">
      <c r="A9" s="35" t="s">
        <v>16</v>
      </c>
      <c r="B9" s="11" t="s">
        <v>1989</v>
      </c>
      <c r="C9" s="36" t="s">
        <v>1990</v>
      </c>
      <c r="D9" s="11" t="s">
        <v>1991</v>
      </c>
      <c r="E9" s="36" t="s">
        <v>20</v>
      </c>
      <c r="F9" s="11" t="s">
        <v>865</v>
      </c>
      <c r="G9" s="39" t="s">
        <v>1998</v>
      </c>
      <c r="H9" s="11" t="s">
        <v>59</v>
      </c>
    </row>
    <row r="10" spans="1:8" x14ac:dyDescent="0.2">
      <c r="A10" s="41" t="s">
        <v>60</v>
      </c>
      <c r="B10" s="15" t="s">
        <v>1917</v>
      </c>
      <c r="C10" s="5" t="s">
        <v>1945</v>
      </c>
      <c r="D10" s="15" t="s">
        <v>841</v>
      </c>
      <c r="E10" s="5" t="s">
        <v>1999</v>
      </c>
      <c r="F10" s="15" t="s">
        <v>1919</v>
      </c>
      <c r="G10" s="6" t="s">
        <v>2000</v>
      </c>
      <c r="H10" s="15" t="s">
        <v>59</v>
      </c>
    </row>
    <row r="11" spans="1:8" x14ac:dyDescent="0.2">
      <c r="A11" s="43" t="s">
        <v>16</v>
      </c>
      <c r="B11" s="19" t="s">
        <v>1917</v>
      </c>
      <c r="C11" s="44" t="s">
        <v>1918</v>
      </c>
      <c r="D11" s="19" t="s">
        <v>841</v>
      </c>
      <c r="E11" s="44" t="s">
        <v>1999</v>
      </c>
      <c r="F11" s="19" t="s">
        <v>1919</v>
      </c>
      <c r="G11" s="47" t="s">
        <v>2000</v>
      </c>
      <c r="H11" s="19" t="s">
        <v>59</v>
      </c>
    </row>
    <row r="12" spans="1:8" x14ac:dyDescent="0.2">
      <c r="B12" s="5" t="s">
        <v>38</v>
      </c>
    </row>
  </sheetData>
  <mergeCells count="11">
    <mergeCell ref="A5:G5"/>
    <mergeCell ref="A8:G8"/>
    <mergeCell ref="B3:B4"/>
    <mergeCell ref="A1:H2"/>
    <mergeCell ref="A3:A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V43"/>
  <sheetViews>
    <sheetView workbookViewId="0">
      <selection sqref="A1:V2"/>
    </sheetView>
  </sheetViews>
  <sheetFormatPr defaultColWidth="9.140625" defaultRowHeight="12.75" x14ac:dyDescent="0.2"/>
  <cols>
    <col min="1" max="1" width="7.42578125" style="6" bestFit="1" customWidth="1"/>
    <col min="2" max="2" width="23.425781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19.140625" style="5" bestFit="1" customWidth="1"/>
    <col min="8" max="10" width="5.42578125" style="6" bestFit="1" customWidth="1"/>
    <col min="11" max="11" width="4.85546875" style="6" bestFit="1" customWidth="1"/>
    <col min="12" max="14" width="5.42578125" style="6" bestFit="1" customWidth="1"/>
    <col min="15" max="15" width="4.85546875" style="6" bestFit="1" customWidth="1"/>
    <col min="16" max="18" width="5.42578125" style="6" bestFit="1" customWidth="1"/>
    <col min="19" max="19" width="4.85546875" style="6" bestFit="1" customWidth="1"/>
    <col min="20" max="20" width="7.85546875" style="30" bestFit="1" customWidth="1"/>
    <col min="21" max="21" width="8.42578125" style="6" bestFit="1" customWidth="1"/>
    <col min="22" max="22" width="27.7109375" style="5" bestFit="1" customWidth="1"/>
    <col min="23" max="16384" width="9.140625" style="3"/>
  </cols>
  <sheetData>
    <row r="1" spans="1:22" s="2" customFormat="1" ht="29.1" customHeight="1" x14ac:dyDescent="0.2">
      <c r="A1" s="83" t="s">
        <v>535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</row>
    <row r="2" spans="1:2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/>
      <c r="J3" s="94"/>
      <c r="K3" s="94"/>
      <c r="L3" s="94" t="s">
        <v>9</v>
      </c>
      <c r="M3" s="94"/>
      <c r="N3" s="94"/>
      <c r="O3" s="94"/>
      <c r="P3" s="94" t="s">
        <v>10</v>
      </c>
      <c r="Q3" s="94"/>
      <c r="R3" s="94"/>
      <c r="S3" s="94"/>
      <c r="T3" s="97" t="s">
        <v>11</v>
      </c>
      <c r="U3" s="94" t="s">
        <v>12</v>
      </c>
      <c r="V3" s="77" t="s">
        <v>13</v>
      </c>
    </row>
    <row r="4" spans="1:22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74">
        <v>1</v>
      </c>
      <c r="M4" s="74">
        <v>2</v>
      </c>
      <c r="N4" s="74">
        <v>3</v>
      </c>
      <c r="O4" s="74" t="s">
        <v>14</v>
      </c>
      <c r="P4" s="74">
        <v>1</v>
      </c>
      <c r="Q4" s="74">
        <v>2</v>
      </c>
      <c r="R4" s="74">
        <v>3</v>
      </c>
      <c r="S4" s="74" t="s">
        <v>14</v>
      </c>
      <c r="T4" s="98"/>
      <c r="U4" s="93"/>
      <c r="V4" s="78"/>
    </row>
    <row r="5" spans="1:22" ht="15" x14ac:dyDescent="0.2">
      <c r="A5" s="79" t="s">
        <v>39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2" x14ac:dyDescent="0.2">
      <c r="A6" s="10" t="s">
        <v>186</v>
      </c>
      <c r="B6" s="7" t="s">
        <v>536</v>
      </c>
      <c r="C6" s="7" t="s">
        <v>537</v>
      </c>
      <c r="D6" s="7" t="s">
        <v>538</v>
      </c>
      <c r="E6" s="7" t="str">
        <f>"1,2578"</f>
        <v>1,2578</v>
      </c>
      <c r="F6" s="7" t="s">
        <v>20</v>
      </c>
      <c r="G6" s="7" t="s">
        <v>515</v>
      </c>
      <c r="H6" s="9" t="s">
        <v>30</v>
      </c>
      <c r="I6" s="9" t="s">
        <v>37</v>
      </c>
      <c r="J6" s="9" t="s">
        <v>37</v>
      </c>
      <c r="K6" s="10"/>
      <c r="L6" s="9"/>
      <c r="M6" s="10"/>
      <c r="N6" s="10"/>
      <c r="O6" s="10"/>
      <c r="P6" s="10"/>
      <c r="Q6" s="9"/>
      <c r="R6" s="9"/>
      <c r="S6" s="10"/>
      <c r="T6" s="31">
        <v>0</v>
      </c>
      <c r="U6" s="10" t="str">
        <f>"0,0000"</f>
        <v>0,0000</v>
      </c>
      <c r="V6" s="7" t="s">
        <v>539</v>
      </c>
    </row>
    <row r="7" spans="1:22" x14ac:dyDescent="0.2">
      <c r="B7" s="5" t="s">
        <v>38</v>
      </c>
    </row>
    <row r="8" spans="1:22" ht="15" x14ac:dyDescent="0.2">
      <c r="A8" s="81" t="s">
        <v>48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2" x14ac:dyDescent="0.2">
      <c r="A9" s="10" t="s">
        <v>16</v>
      </c>
      <c r="B9" s="7" t="s">
        <v>540</v>
      </c>
      <c r="C9" s="7" t="s">
        <v>541</v>
      </c>
      <c r="D9" s="7" t="s">
        <v>542</v>
      </c>
      <c r="E9" s="7" t="str">
        <f>"1,1416"</f>
        <v>1,1416</v>
      </c>
      <c r="F9" s="7" t="s">
        <v>20</v>
      </c>
      <c r="G9" s="7" t="s">
        <v>543</v>
      </c>
      <c r="H9" s="9" t="s">
        <v>107</v>
      </c>
      <c r="I9" s="8" t="s">
        <v>90</v>
      </c>
      <c r="J9" s="8" t="s">
        <v>58</v>
      </c>
      <c r="K9" s="10"/>
      <c r="L9" s="8" t="s">
        <v>45</v>
      </c>
      <c r="M9" s="8" t="s">
        <v>54</v>
      </c>
      <c r="N9" s="9" t="s">
        <v>55</v>
      </c>
      <c r="O9" s="10"/>
      <c r="P9" s="8" t="s">
        <v>30</v>
      </c>
      <c r="Q9" s="8" t="s">
        <v>107</v>
      </c>
      <c r="R9" s="8" t="s">
        <v>90</v>
      </c>
      <c r="S9" s="10"/>
      <c r="T9" s="31" t="str">
        <f>"312,5"</f>
        <v>312,5</v>
      </c>
      <c r="U9" s="10" t="str">
        <f>"356,7500"</f>
        <v>356,7500</v>
      </c>
      <c r="V9" s="7" t="s">
        <v>544</v>
      </c>
    </row>
    <row r="10" spans="1:22" x14ac:dyDescent="0.2">
      <c r="B10" s="5" t="s">
        <v>38</v>
      </c>
    </row>
    <row r="11" spans="1:22" ht="15" x14ac:dyDescent="0.2">
      <c r="A11" s="81" t="s">
        <v>131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2" x14ac:dyDescent="0.2">
      <c r="A12" s="10" t="s">
        <v>16</v>
      </c>
      <c r="B12" s="7" t="s">
        <v>545</v>
      </c>
      <c r="C12" s="7" t="s">
        <v>546</v>
      </c>
      <c r="D12" s="7" t="s">
        <v>547</v>
      </c>
      <c r="E12" s="7" t="str">
        <f>"0,9655"</f>
        <v>0,9655</v>
      </c>
      <c r="F12" s="7" t="s">
        <v>20</v>
      </c>
      <c r="G12" s="7" t="s">
        <v>548</v>
      </c>
      <c r="H12" s="8" t="s">
        <v>90</v>
      </c>
      <c r="I12" s="8" t="s">
        <v>58</v>
      </c>
      <c r="J12" s="9" t="s">
        <v>117</v>
      </c>
      <c r="K12" s="10"/>
      <c r="L12" s="8" t="s">
        <v>89</v>
      </c>
      <c r="M12" s="9" t="s">
        <v>22</v>
      </c>
      <c r="N12" s="9" t="s">
        <v>22</v>
      </c>
      <c r="O12" s="10"/>
      <c r="P12" s="8" t="s">
        <v>82</v>
      </c>
      <c r="Q12" s="8" t="s">
        <v>90</v>
      </c>
      <c r="R12" s="9" t="s">
        <v>117</v>
      </c>
      <c r="S12" s="10"/>
      <c r="T12" s="31" t="str">
        <f>"320,0"</f>
        <v>320,0</v>
      </c>
      <c r="U12" s="10" t="str">
        <f>"308,9600"</f>
        <v>308,9600</v>
      </c>
      <c r="V12" s="7" t="s">
        <v>544</v>
      </c>
    </row>
    <row r="13" spans="1:22" x14ac:dyDescent="0.2">
      <c r="B13" s="5" t="s">
        <v>38</v>
      </c>
    </row>
    <row r="14" spans="1:22" ht="15" x14ac:dyDescent="0.2">
      <c r="A14" s="81" t="s">
        <v>73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2" x14ac:dyDescent="0.2">
      <c r="A15" s="14" t="s">
        <v>16</v>
      </c>
      <c r="B15" s="11" t="s">
        <v>549</v>
      </c>
      <c r="C15" s="11" t="s">
        <v>550</v>
      </c>
      <c r="D15" s="11" t="s">
        <v>551</v>
      </c>
      <c r="E15" s="11" t="str">
        <f>"0,8144"</f>
        <v>0,8144</v>
      </c>
      <c r="F15" s="11" t="s">
        <v>552</v>
      </c>
      <c r="G15" s="11" t="s">
        <v>553</v>
      </c>
      <c r="H15" s="12" t="s">
        <v>109</v>
      </c>
      <c r="I15" s="12" t="s">
        <v>110</v>
      </c>
      <c r="J15" s="13" t="s">
        <v>110</v>
      </c>
      <c r="K15" s="14"/>
      <c r="L15" s="13" t="s">
        <v>24</v>
      </c>
      <c r="M15" s="13" t="s">
        <v>53</v>
      </c>
      <c r="N15" s="13" t="s">
        <v>64</v>
      </c>
      <c r="O15" s="14"/>
      <c r="P15" s="13" t="s">
        <v>136</v>
      </c>
      <c r="Q15" s="13" t="s">
        <v>98</v>
      </c>
      <c r="R15" s="14"/>
      <c r="S15" s="14"/>
      <c r="T15" s="28" t="str">
        <f>"417,5"</f>
        <v>417,5</v>
      </c>
      <c r="U15" s="14" t="str">
        <f>"340,0120"</f>
        <v>340,0120</v>
      </c>
      <c r="V15" s="11" t="s">
        <v>554</v>
      </c>
    </row>
    <row r="16" spans="1:22" x14ac:dyDescent="0.2">
      <c r="A16" s="17" t="s">
        <v>16</v>
      </c>
      <c r="B16" s="15" t="s">
        <v>555</v>
      </c>
      <c r="C16" s="15" t="s">
        <v>556</v>
      </c>
      <c r="D16" s="15" t="s">
        <v>400</v>
      </c>
      <c r="E16" s="15" t="str">
        <f>"0,7852"</f>
        <v>0,7852</v>
      </c>
      <c r="F16" s="15" t="s">
        <v>20</v>
      </c>
      <c r="G16" s="15" t="s">
        <v>515</v>
      </c>
      <c r="H16" s="16" t="s">
        <v>99</v>
      </c>
      <c r="I16" s="16" t="s">
        <v>123</v>
      </c>
      <c r="J16" s="17"/>
      <c r="K16" s="17"/>
      <c r="L16" s="16" t="s">
        <v>37</v>
      </c>
      <c r="M16" s="16" t="s">
        <v>82</v>
      </c>
      <c r="N16" s="18" t="s">
        <v>107</v>
      </c>
      <c r="O16" s="17"/>
      <c r="P16" s="16" t="s">
        <v>143</v>
      </c>
      <c r="Q16" s="16" t="s">
        <v>223</v>
      </c>
      <c r="R16" s="17"/>
      <c r="S16" s="17"/>
      <c r="T16" s="32" t="str">
        <f>"505,0"</f>
        <v>505,0</v>
      </c>
      <c r="U16" s="17" t="str">
        <f>"396,5260"</f>
        <v>396,5260</v>
      </c>
      <c r="V16" s="15" t="s">
        <v>557</v>
      </c>
    </row>
    <row r="17" spans="1:22" x14ac:dyDescent="0.2">
      <c r="A17" s="17" t="s">
        <v>186</v>
      </c>
      <c r="B17" s="15" t="s">
        <v>558</v>
      </c>
      <c r="C17" s="15" t="s">
        <v>559</v>
      </c>
      <c r="D17" s="15" t="s">
        <v>560</v>
      </c>
      <c r="E17" s="15" t="str">
        <f>"0,8166"</f>
        <v>0,8166</v>
      </c>
      <c r="F17" s="15" t="s">
        <v>171</v>
      </c>
      <c r="G17" s="15" t="s">
        <v>561</v>
      </c>
      <c r="H17" s="18" t="s">
        <v>145</v>
      </c>
      <c r="I17" s="18" t="s">
        <v>145</v>
      </c>
      <c r="J17" s="18" t="s">
        <v>145</v>
      </c>
      <c r="K17" s="17"/>
      <c r="L17" s="18"/>
      <c r="M17" s="17"/>
      <c r="N17" s="17"/>
      <c r="O17" s="17"/>
      <c r="P17" s="18"/>
      <c r="Q17" s="17"/>
      <c r="R17" s="17"/>
      <c r="S17" s="17"/>
      <c r="T17" s="32">
        <v>0</v>
      </c>
      <c r="U17" s="17" t="str">
        <f>"0,0000"</f>
        <v>0,0000</v>
      </c>
      <c r="V17" s="15" t="s">
        <v>562</v>
      </c>
    </row>
    <row r="18" spans="1:22" x14ac:dyDescent="0.2">
      <c r="A18" s="21" t="s">
        <v>16</v>
      </c>
      <c r="B18" s="19" t="s">
        <v>563</v>
      </c>
      <c r="C18" s="19" t="s">
        <v>564</v>
      </c>
      <c r="D18" s="19" t="s">
        <v>565</v>
      </c>
      <c r="E18" s="19" t="str">
        <f>"0,7785"</f>
        <v>0,7785</v>
      </c>
      <c r="F18" s="19" t="s">
        <v>190</v>
      </c>
      <c r="G18" s="19" t="s">
        <v>566</v>
      </c>
      <c r="H18" s="20" t="s">
        <v>30</v>
      </c>
      <c r="I18" s="20" t="s">
        <v>378</v>
      </c>
      <c r="J18" s="21"/>
      <c r="K18" s="21"/>
      <c r="L18" s="20" t="s">
        <v>24</v>
      </c>
      <c r="M18" s="22" t="s">
        <v>53</v>
      </c>
      <c r="N18" s="21"/>
      <c r="O18" s="21"/>
      <c r="P18" s="20" t="s">
        <v>125</v>
      </c>
      <c r="Q18" s="20" t="s">
        <v>98</v>
      </c>
      <c r="R18" s="22" t="s">
        <v>99</v>
      </c>
      <c r="S18" s="21"/>
      <c r="T18" s="29" t="str">
        <f>"352,5"</f>
        <v>352,5</v>
      </c>
      <c r="U18" s="21" t="str">
        <f>"274,4213"</f>
        <v>274,4213</v>
      </c>
      <c r="V18" s="19" t="s">
        <v>59</v>
      </c>
    </row>
    <row r="19" spans="1:22" x14ac:dyDescent="0.2">
      <c r="B19" s="5" t="s">
        <v>38</v>
      </c>
    </row>
    <row r="20" spans="1:22" ht="15" x14ac:dyDescent="0.2">
      <c r="A20" s="81" t="s">
        <v>131</v>
      </c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2" x14ac:dyDescent="0.2">
      <c r="A21" s="14" t="s">
        <v>186</v>
      </c>
      <c r="B21" s="11" t="s">
        <v>567</v>
      </c>
      <c r="C21" s="11" t="s">
        <v>568</v>
      </c>
      <c r="D21" s="11" t="s">
        <v>569</v>
      </c>
      <c r="E21" s="11" t="str">
        <f>"0,7469"</f>
        <v>0,7469</v>
      </c>
      <c r="F21" s="11" t="s">
        <v>20</v>
      </c>
      <c r="G21" s="11" t="s">
        <v>570</v>
      </c>
      <c r="H21" s="12" t="s">
        <v>125</v>
      </c>
      <c r="I21" s="12" t="s">
        <v>136</v>
      </c>
      <c r="J21" s="12" t="s">
        <v>136</v>
      </c>
      <c r="K21" s="14"/>
      <c r="L21" s="12"/>
      <c r="M21" s="14"/>
      <c r="N21" s="14"/>
      <c r="O21" s="14"/>
      <c r="P21" s="12"/>
      <c r="Q21" s="14"/>
      <c r="R21" s="14"/>
      <c r="S21" s="14"/>
      <c r="T21" s="28">
        <v>0</v>
      </c>
      <c r="U21" s="14" t="str">
        <f>"0,0000"</f>
        <v>0,0000</v>
      </c>
      <c r="V21" s="11" t="s">
        <v>571</v>
      </c>
    </row>
    <row r="22" spans="1:22" x14ac:dyDescent="0.2">
      <c r="A22" s="17" t="s">
        <v>16</v>
      </c>
      <c r="B22" s="15" t="s">
        <v>572</v>
      </c>
      <c r="C22" s="15" t="s">
        <v>573</v>
      </c>
      <c r="D22" s="15" t="s">
        <v>574</v>
      </c>
      <c r="E22" s="15" t="str">
        <f>"0,7271"</f>
        <v>0,7271</v>
      </c>
      <c r="F22" s="15" t="s">
        <v>20</v>
      </c>
      <c r="G22" s="15" t="s">
        <v>570</v>
      </c>
      <c r="H22" s="16" t="s">
        <v>110</v>
      </c>
      <c r="I22" s="16" t="s">
        <v>137</v>
      </c>
      <c r="J22" s="16" t="s">
        <v>123</v>
      </c>
      <c r="K22" s="17"/>
      <c r="L22" s="16" t="s">
        <v>82</v>
      </c>
      <c r="M22" s="16" t="s">
        <v>88</v>
      </c>
      <c r="N22" s="18" t="s">
        <v>57</v>
      </c>
      <c r="O22" s="17"/>
      <c r="P22" s="16" t="s">
        <v>137</v>
      </c>
      <c r="Q22" s="18" t="s">
        <v>575</v>
      </c>
      <c r="R22" s="18" t="s">
        <v>575</v>
      </c>
      <c r="S22" s="17"/>
      <c r="T22" s="32" t="str">
        <f>"472,5"</f>
        <v>472,5</v>
      </c>
      <c r="U22" s="17" t="str">
        <f>"343,5548"</f>
        <v>343,5548</v>
      </c>
      <c r="V22" s="15" t="s">
        <v>571</v>
      </c>
    </row>
    <row r="23" spans="1:22" x14ac:dyDescent="0.2">
      <c r="A23" s="21" t="s">
        <v>16</v>
      </c>
      <c r="B23" s="19" t="s">
        <v>576</v>
      </c>
      <c r="C23" s="19" t="s">
        <v>577</v>
      </c>
      <c r="D23" s="19" t="s">
        <v>578</v>
      </c>
      <c r="E23" s="19" t="str">
        <f>"0,7235"</f>
        <v>0,7235</v>
      </c>
      <c r="F23" s="19" t="s">
        <v>20</v>
      </c>
      <c r="G23" s="19" t="s">
        <v>579</v>
      </c>
      <c r="H23" s="22" t="s">
        <v>145</v>
      </c>
      <c r="I23" s="22" t="s">
        <v>153</v>
      </c>
      <c r="J23" s="20" t="s">
        <v>153</v>
      </c>
      <c r="K23" s="21"/>
      <c r="L23" s="20" t="s">
        <v>58</v>
      </c>
      <c r="M23" s="20" t="s">
        <v>118</v>
      </c>
      <c r="N23" s="20" t="s">
        <v>125</v>
      </c>
      <c r="O23" s="21"/>
      <c r="P23" s="20" t="s">
        <v>223</v>
      </c>
      <c r="Q23" s="22" t="s">
        <v>145</v>
      </c>
      <c r="R23" s="20" t="s">
        <v>145</v>
      </c>
      <c r="S23" s="21"/>
      <c r="T23" s="29" t="str">
        <f>"600,0"</f>
        <v>600,0</v>
      </c>
      <c r="U23" s="21" t="str">
        <f>"434,1000"</f>
        <v>434,1000</v>
      </c>
      <c r="V23" s="19" t="s">
        <v>59</v>
      </c>
    </row>
    <row r="24" spans="1:22" x14ac:dyDescent="0.2">
      <c r="B24" s="5" t="s">
        <v>38</v>
      </c>
    </row>
    <row r="25" spans="1:22" ht="15" x14ac:dyDescent="0.2">
      <c r="A25" s="81" t="s">
        <v>192</v>
      </c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2" x14ac:dyDescent="0.2">
      <c r="A26" s="14" t="s">
        <v>16</v>
      </c>
      <c r="B26" s="11" t="s">
        <v>580</v>
      </c>
      <c r="C26" s="11" t="s">
        <v>581</v>
      </c>
      <c r="D26" s="11" t="s">
        <v>582</v>
      </c>
      <c r="E26" s="11" t="str">
        <f>"0,6795"</f>
        <v>0,6795</v>
      </c>
      <c r="F26" s="11" t="s">
        <v>20</v>
      </c>
      <c r="G26" s="11" t="s">
        <v>583</v>
      </c>
      <c r="H26" s="13" t="s">
        <v>124</v>
      </c>
      <c r="I26" s="13" t="s">
        <v>143</v>
      </c>
      <c r="J26" s="14"/>
      <c r="K26" s="14"/>
      <c r="L26" s="13" t="s">
        <v>90</v>
      </c>
      <c r="M26" s="13" t="s">
        <v>83</v>
      </c>
      <c r="N26" s="12" t="s">
        <v>91</v>
      </c>
      <c r="O26" s="14"/>
      <c r="P26" s="13" t="s">
        <v>143</v>
      </c>
      <c r="Q26" s="12" t="s">
        <v>145</v>
      </c>
      <c r="R26" s="14"/>
      <c r="S26" s="14"/>
      <c r="T26" s="28" t="str">
        <f>"535,0"</f>
        <v>535,0</v>
      </c>
      <c r="U26" s="14" t="str">
        <f>"363,5325"</f>
        <v>363,5325</v>
      </c>
      <c r="V26" s="11" t="s">
        <v>584</v>
      </c>
    </row>
    <row r="27" spans="1:22" x14ac:dyDescent="0.2">
      <c r="A27" s="21" t="s">
        <v>60</v>
      </c>
      <c r="B27" s="19" t="s">
        <v>585</v>
      </c>
      <c r="C27" s="19" t="s">
        <v>586</v>
      </c>
      <c r="D27" s="19" t="s">
        <v>587</v>
      </c>
      <c r="E27" s="19" t="str">
        <f>"0,7067"</f>
        <v>0,7067</v>
      </c>
      <c r="F27" s="19" t="s">
        <v>20</v>
      </c>
      <c r="G27" s="19" t="s">
        <v>69</v>
      </c>
      <c r="H27" s="20" t="s">
        <v>110</v>
      </c>
      <c r="I27" s="20" t="s">
        <v>137</v>
      </c>
      <c r="J27" s="22" t="s">
        <v>166</v>
      </c>
      <c r="K27" s="21"/>
      <c r="L27" s="20" t="s">
        <v>53</v>
      </c>
      <c r="M27" s="22" t="s">
        <v>29</v>
      </c>
      <c r="N27" s="20" t="s">
        <v>30</v>
      </c>
      <c r="O27" s="21"/>
      <c r="P27" s="20" t="s">
        <v>98</v>
      </c>
      <c r="Q27" s="20" t="s">
        <v>99</v>
      </c>
      <c r="R27" s="20" t="s">
        <v>123</v>
      </c>
      <c r="S27" s="21"/>
      <c r="T27" s="29" t="str">
        <f>"455,0"</f>
        <v>455,0</v>
      </c>
      <c r="U27" s="21" t="str">
        <f>"321,5485"</f>
        <v>321,5485</v>
      </c>
      <c r="V27" s="19" t="s">
        <v>59</v>
      </c>
    </row>
    <row r="28" spans="1:22" x14ac:dyDescent="0.2">
      <c r="B28" s="5" t="s">
        <v>38</v>
      </c>
    </row>
    <row r="29" spans="1:22" ht="15" x14ac:dyDescent="0.2">
      <c r="A29" s="81" t="s">
        <v>295</v>
      </c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2" x14ac:dyDescent="0.2">
      <c r="A30" s="10" t="s">
        <v>16</v>
      </c>
      <c r="B30" s="7" t="s">
        <v>588</v>
      </c>
      <c r="C30" s="7" t="s">
        <v>589</v>
      </c>
      <c r="D30" s="7" t="s">
        <v>590</v>
      </c>
      <c r="E30" s="7" t="str">
        <f>"0,6188"</f>
        <v>0,6188</v>
      </c>
      <c r="F30" s="7" t="s">
        <v>20</v>
      </c>
      <c r="G30" s="7" t="s">
        <v>591</v>
      </c>
      <c r="H30" s="8" t="s">
        <v>143</v>
      </c>
      <c r="I30" s="9" t="s">
        <v>144</v>
      </c>
      <c r="J30" s="8" t="s">
        <v>223</v>
      </c>
      <c r="K30" s="10"/>
      <c r="L30" s="9" t="s">
        <v>109</v>
      </c>
      <c r="M30" s="9" t="s">
        <v>109</v>
      </c>
      <c r="N30" s="8" t="s">
        <v>109</v>
      </c>
      <c r="O30" s="10"/>
      <c r="P30" s="8" t="s">
        <v>143</v>
      </c>
      <c r="Q30" s="8" t="s">
        <v>144</v>
      </c>
      <c r="R30" s="8" t="s">
        <v>101</v>
      </c>
      <c r="S30" s="10"/>
      <c r="T30" s="31" t="str">
        <f>"590,0"</f>
        <v>590,0</v>
      </c>
      <c r="U30" s="10" t="str">
        <f>"365,0920"</f>
        <v>365,0920</v>
      </c>
      <c r="V30" s="7" t="s">
        <v>59</v>
      </c>
    </row>
    <row r="31" spans="1:22" x14ac:dyDescent="0.2">
      <c r="B31" s="5" t="s">
        <v>38</v>
      </c>
    </row>
    <row r="32" spans="1:22" ht="15" x14ac:dyDescent="0.2">
      <c r="A32" s="81" t="s">
        <v>323</v>
      </c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2" x14ac:dyDescent="0.2">
      <c r="A33" s="14" t="s">
        <v>16</v>
      </c>
      <c r="B33" s="11" t="s">
        <v>592</v>
      </c>
      <c r="C33" s="11" t="s">
        <v>593</v>
      </c>
      <c r="D33" s="11" t="s">
        <v>594</v>
      </c>
      <c r="E33" s="11" t="str">
        <f>"0,5895"</f>
        <v>0,5895</v>
      </c>
      <c r="F33" s="11" t="s">
        <v>20</v>
      </c>
      <c r="G33" s="11" t="s">
        <v>595</v>
      </c>
      <c r="H33" s="13" t="s">
        <v>174</v>
      </c>
      <c r="I33" s="12" t="s">
        <v>251</v>
      </c>
      <c r="J33" s="13" t="s">
        <v>251</v>
      </c>
      <c r="K33" s="14"/>
      <c r="L33" s="13" t="s">
        <v>118</v>
      </c>
      <c r="M33" s="13" t="s">
        <v>136</v>
      </c>
      <c r="N33" s="12" t="s">
        <v>98</v>
      </c>
      <c r="O33" s="14"/>
      <c r="P33" s="13" t="s">
        <v>101</v>
      </c>
      <c r="Q33" s="13" t="s">
        <v>250</v>
      </c>
      <c r="R33" s="12" t="s">
        <v>154</v>
      </c>
      <c r="S33" s="14"/>
      <c r="T33" s="28" t="str">
        <f>"650,0"</f>
        <v>650,0</v>
      </c>
      <c r="U33" s="14" t="str">
        <f>"383,1750"</f>
        <v>383,1750</v>
      </c>
      <c r="V33" s="11" t="s">
        <v>596</v>
      </c>
    </row>
    <row r="34" spans="1:22" x14ac:dyDescent="0.2">
      <c r="A34" s="17" t="s">
        <v>60</v>
      </c>
      <c r="B34" s="15" t="s">
        <v>330</v>
      </c>
      <c r="C34" s="15" t="s">
        <v>597</v>
      </c>
      <c r="D34" s="15" t="s">
        <v>332</v>
      </c>
      <c r="E34" s="15" t="str">
        <f>"0,5910"</f>
        <v>0,5910</v>
      </c>
      <c r="F34" s="15" t="s">
        <v>20</v>
      </c>
      <c r="G34" s="15" t="s">
        <v>279</v>
      </c>
      <c r="H34" s="18" t="s">
        <v>153</v>
      </c>
      <c r="I34" s="16" t="s">
        <v>153</v>
      </c>
      <c r="J34" s="17"/>
      <c r="K34" s="17"/>
      <c r="L34" s="16" t="s">
        <v>118</v>
      </c>
      <c r="M34" s="16" t="s">
        <v>136</v>
      </c>
      <c r="N34" s="16" t="s">
        <v>98</v>
      </c>
      <c r="O34" s="17"/>
      <c r="P34" s="16" t="s">
        <v>143</v>
      </c>
      <c r="Q34" s="16" t="s">
        <v>144</v>
      </c>
      <c r="R34" s="18" t="s">
        <v>101</v>
      </c>
      <c r="S34" s="17"/>
      <c r="T34" s="32">
        <v>600</v>
      </c>
      <c r="U34" s="62" t="e">
        <f>T34*E34</f>
        <v>#VALUE!</v>
      </c>
      <c r="V34" s="15" t="s">
        <v>59</v>
      </c>
    </row>
    <row r="35" spans="1:22" x14ac:dyDescent="0.2">
      <c r="A35" s="21" t="s">
        <v>16</v>
      </c>
      <c r="B35" s="19" t="s">
        <v>330</v>
      </c>
      <c r="C35" s="19" t="s">
        <v>331</v>
      </c>
      <c r="D35" s="19" t="s">
        <v>332</v>
      </c>
      <c r="E35" s="19" t="str">
        <f>"0,5910"</f>
        <v>0,5910</v>
      </c>
      <c r="F35" s="19" t="s">
        <v>20</v>
      </c>
      <c r="G35" s="19" t="s">
        <v>279</v>
      </c>
      <c r="H35" s="22" t="s">
        <v>153</v>
      </c>
      <c r="I35" s="20" t="s">
        <v>153</v>
      </c>
      <c r="J35" s="21"/>
      <c r="K35" s="21"/>
      <c r="L35" s="20" t="s">
        <v>118</v>
      </c>
      <c r="M35" s="20" t="s">
        <v>136</v>
      </c>
      <c r="N35" s="20" t="s">
        <v>98</v>
      </c>
      <c r="O35" s="21"/>
      <c r="P35" s="20" t="s">
        <v>143</v>
      </c>
      <c r="Q35" s="20" t="s">
        <v>144</v>
      </c>
      <c r="R35" s="22" t="s">
        <v>101</v>
      </c>
      <c r="S35" s="21"/>
      <c r="T35" s="29">
        <v>600</v>
      </c>
      <c r="U35" s="63" t="e">
        <f>T35*E35</f>
        <v>#VALUE!</v>
      </c>
      <c r="V35" s="19" t="s">
        <v>59</v>
      </c>
    </row>
    <row r="36" spans="1:22" x14ac:dyDescent="0.2">
      <c r="B36" s="5" t="s">
        <v>38</v>
      </c>
    </row>
    <row r="37" spans="1:22" ht="15" x14ac:dyDescent="0.2">
      <c r="A37" s="81" t="s">
        <v>333</v>
      </c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2" x14ac:dyDescent="0.2">
      <c r="A38" s="14" t="s">
        <v>16</v>
      </c>
      <c r="B38" s="11" t="s">
        <v>598</v>
      </c>
      <c r="C38" s="11" t="s">
        <v>599</v>
      </c>
      <c r="D38" s="11" t="s">
        <v>600</v>
      </c>
      <c r="E38" s="11" t="str">
        <f>"0,5839"</f>
        <v>0,5839</v>
      </c>
      <c r="F38" s="11" t="s">
        <v>20</v>
      </c>
      <c r="G38" s="11" t="s">
        <v>579</v>
      </c>
      <c r="H38" s="13" t="s">
        <v>166</v>
      </c>
      <c r="I38" s="12" t="s">
        <v>143</v>
      </c>
      <c r="J38" s="13" t="s">
        <v>143</v>
      </c>
      <c r="K38" s="14"/>
      <c r="L38" s="13" t="s">
        <v>88</v>
      </c>
      <c r="M38" s="13" t="s">
        <v>57</v>
      </c>
      <c r="N38" s="12" t="s">
        <v>90</v>
      </c>
      <c r="O38" s="14"/>
      <c r="P38" s="13" t="s">
        <v>110</v>
      </c>
      <c r="Q38" s="13" t="s">
        <v>137</v>
      </c>
      <c r="R38" s="13" t="s">
        <v>152</v>
      </c>
      <c r="S38" s="14"/>
      <c r="T38" s="28" t="str">
        <f>"505,0"</f>
        <v>505,0</v>
      </c>
      <c r="U38" s="14" t="str">
        <f>"294,8695"</f>
        <v>294,8695</v>
      </c>
      <c r="V38" s="11" t="s">
        <v>601</v>
      </c>
    </row>
    <row r="39" spans="1:22" x14ac:dyDescent="0.2">
      <c r="A39" s="21" t="s">
        <v>16</v>
      </c>
      <c r="B39" s="19" t="s">
        <v>602</v>
      </c>
      <c r="C39" s="19" t="s">
        <v>603</v>
      </c>
      <c r="D39" s="19" t="s">
        <v>604</v>
      </c>
      <c r="E39" s="19" t="str">
        <f>"0,5728"</f>
        <v>0,5728</v>
      </c>
      <c r="F39" s="19" t="s">
        <v>20</v>
      </c>
      <c r="G39" s="19" t="s">
        <v>605</v>
      </c>
      <c r="H39" s="20" t="s">
        <v>101</v>
      </c>
      <c r="I39" s="22" t="s">
        <v>250</v>
      </c>
      <c r="J39" s="22" t="s">
        <v>154</v>
      </c>
      <c r="K39" s="21"/>
      <c r="L39" s="20" t="s">
        <v>118</v>
      </c>
      <c r="M39" s="20" t="s">
        <v>136</v>
      </c>
      <c r="N39" s="22" t="s">
        <v>478</v>
      </c>
      <c r="O39" s="21"/>
      <c r="P39" s="20" t="s">
        <v>143</v>
      </c>
      <c r="Q39" s="20" t="s">
        <v>101</v>
      </c>
      <c r="R39" s="20" t="s">
        <v>153</v>
      </c>
      <c r="S39" s="21"/>
      <c r="T39" s="29" t="str">
        <f>"600,0"</f>
        <v>600,0</v>
      </c>
      <c r="U39" s="21" t="str">
        <f>"343,6800"</f>
        <v>343,6800</v>
      </c>
      <c r="V39" s="19" t="s">
        <v>59</v>
      </c>
    </row>
    <row r="40" spans="1:22" x14ac:dyDescent="0.2">
      <c r="B40" s="5" t="s">
        <v>38</v>
      </c>
    </row>
    <row r="41" spans="1:22" ht="15" x14ac:dyDescent="0.2">
      <c r="A41" s="81" t="s">
        <v>503</v>
      </c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2" x14ac:dyDescent="0.2">
      <c r="A42" s="10" t="s">
        <v>16</v>
      </c>
      <c r="B42" s="7" t="s">
        <v>606</v>
      </c>
      <c r="C42" s="7" t="s">
        <v>607</v>
      </c>
      <c r="D42" s="7" t="s">
        <v>608</v>
      </c>
      <c r="E42" s="7" t="str">
        <f>"0,5648"</f>
        <v>0,5648</v>
      </c>
      <c r="F42" s="7" t="s">
        <v>552</v>
      </c>
      <c r="G42" s="7" t="s">
        <v>609</v>
      </c>
      <c r="H42" s="9" t="s">
        <v>166</v>
      </c>
      <c r="I42" s="9" t="s">
        <v>166</v>
      </c>
      <c r="J42" s="8" t="s">
        <v>166</v>
      </c>
      <c r="K42" s="10"/>
      <c r="L42" s="8" t="s">
        <v>83</v>
      </c>
      <c r="M42" s="8" t="s">
        <v>125</v>
      </c>
      <c r="N42" s="9" t="s">
        <v>109</v>
      </c>
      <c r="O42" s="10"/>
      <c r="P42" s="8" t="s">
        <v>124</v>
      </c>
      <c r="Q42" s="9" t="s">
        <v>100</v>
      </c>
      <c r="R42" s="8" t="s">
        <v>144</v>
      </c>
      <c r="S42" s="10"/>
      <c r="T42" s="31" t="str">
        <f>"540,0"</f>
        <v>540,0</v>
      </c>
      <c r="U42" s="10" t="str">
        <f>"304,9920"</f>
        <v>304,9920</v>
      </c>
      <c r="V42" s="7" t="s">
        <v>610</v>
      </c>
    </row>
    <row r="43" spans="1:22" x14ac:dyDescent="0.2">
      <c r="B43" s="5" t="s">
        <v>38</v>
      </c>
    </row>
  </sheetData>
  <mergeCells count="24">
    <mergeCell ref="A41:U41"/>
    <mergeCell ref="B3:B4"/>
    <mergeCell ref="A14:U14"/>
    <mergeCell ref="A20:U20"/>
    <mergeCell ref="A25:U25"/>
    <mergeCell ref="A29:U29"/>
    <mergeCell ref="A32:U32"/>
    <mergeCell ref="A37:U37"/>
    <mergeCell ref="T3:T4"/>
    <mergeCell ref="U3:U4"/>
    <mergeCell ref="V3:V4"/>
    <mergeCell ref="A5:U5"/>
    <mergeCell ref="A8:U8"/>
    <mergeCell ref="A11:U11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L12"/>
  <sheetViews>
    <sheetView workbookViewId="0">
      <selection sqref="A1:L2"/>
    </sheetView>
  </sheetViews>
  <sheetFormatPr defaultColWidth="9.140625" defaultRowHeight="12.75" x14ac:dyDescent="0.2"/>
  <cols>
    <col min="1" max="1" width="7.42578125" style="6" bestFit="1" customWidth="1"/>
    <col min="2" max="2" width="23.140625" style="5" customWidth="1"/>
    <col min="3" max="3" width="28.42578125" style="5" bestFit="1" customWidth="1"/>
    <col min="4" max="4" width="21.42578125" style="5" bestFit="1" customWidth="1"/>
    <col min="5" max="5" width="22.7109375" style="5" bestFit="1" customWidth="1"/>
    <col min="6" max="6" width="18.42578125" style="5" bestFit="1" customWidth="1"/>
    <col min="7" max="9" width="4.42578125" style="6" bestFit="1" customWidth="1"/>
    <col min="10" max="10" width="4.85546875" style="6" bestFit="1" customWidth="1"/>
    <col min="11" max="11" width="7.85546875" style="6" bestFit="1" customWidth="1"/>
    <col min="12" max="12" width="25.42578125" style="5" customWidth="1"/>
    <col min="13" max="16384" width="9.140625" style="3"/>
  </cols>
  <sheetData>
    <row r="1" spans="1:12" s="2" customFormat="1" ht="29.1" customHeight="1" x14ac:dyDescent="0.2">
      <c r="A1" s="83" t="s">
        <v>2001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6</v>
      </c>
      <c r="F3" s="94" t="s">
        <v>7</v>
      </c>
      <c r="G3" s="94" t="s">
        <v>1929</v>
      </c>
      <c r="H3" s="94"/>
      <c r="I3" s="94"/>
      <c r="J3" s="94"/>
      <c r="K3" s="94" t="s">
        <v>11</v>
      </c>
      <c r="L3" s="77" t="s">
        <v>13</v>
      </c>
    </row>
    <row r="4" spans="1:12" s="1" customFormat="1" ht="21" customHeight="1" thickBot="1" x14ac:dyDescent="0.25">
      <c r="A4" s="91"/>
      <c r="B4" s="96"/>
      <c r="C4" s="93"/>
      <c r="D4" s="93"/>
      <c r="E4" s="93"/>
      <c r="F4" s="93"/>
      <c r="G4" s="74">
        <v>1</v>
      </c>
      <c r="H4" s="74">
        <v>2</v>
      </c>
      <c r="I4" s="74">
        <v>3</v>
      </c>
      <c r="J4" s="74" t="s">
        <v>14</v>
      </c>
      <c r="K4" s="93"/>
      <c r="L4" s="78"/>
    </row>
    <row r="5" spans="1:12" ht="15" x14ac:dyDescent="0.2">
      <c r="A5" s="79" t="s">
        <v>131</v>
      </c>
      <c r="B5" s="79"/>
      <c r="C5" s="80"/>
      <c r="D5" s="80"/>
      <c r="E5" s="80"/>
      <c r="F5" s="80"/>
      <c r="G5" s="80"/>
      <c r="H5" s="80"/>
      <c r="I5" s="80"/>
      <c r="J5" s="80"/>
      <c r="K5" s="80"/>
    </row>
    <row r="6" spans="1:12" x14ac:dyDescent="0.2">
      <c r="A6" s="10" t="s">
        <v>16</v>
      </c>
      <c r="B6" s="7" t="s">
        <v>2002</v>
      </c>
      <c r="C6" s="7" t="s">
        <v>2003</v>
      </c>
      <c r="D6" s="7" t="s">
        <v>977</v>
      </c>
      <c r="E6" s="7" t="s">
        <v>20</v>
      </c>
      <c r="F6" s="7" t="s">
        <v>579</v>
      </c>
      <c r="G6" s="8" t="s">
        <v>372</v>
      </c>
      <c r="H6" s="9" t="s">
        <v>26</v>
      </c>
      <c r="I6" s="10"/>
      <c r="J6" s="10"/>
      <c r="K6" s="10" t="str">
        <f>"30,0"</f>
        <v>30,0</v>
      </c>
      <c r="L6" s="7" t="s">
        <v>59</v>
      </c>
    </row>
    <row r="7" spans="1:12" x14ac:dyDescent="0.2">
      <c r="B7" s="5" t="s">
        <v>38</v>
      </c>
    </row>
    <row r="8" spans="1:12" ht="15" x14ac:dyDescent="0.2">
      <c r="A8" s="81" t="s">
        <v>323</v>
      </c>
      <c r="B8" s="81"/>
      <c r="C8" s="82"/>
      <c r="D8" s="82"/>
      <c r="E8" s="82"/>
      <c r="F8" s="82"/>
      <c r="G8" s="82"/>
      <c r="H8" s="82"/>
      <c r="I8" s="82"/>
      <c r="J8" s="82"/>
      <c r="K8" s="82"/>
    </row>
    <row r="9" spans="1:12" x14ac:dyDescent="0.2">
      <c r="A9" s="14" t="s">
        <v>16</v>
      </c>
      <c r="B9" s="11" t="s">
        <v>1989</v>
      </c>
      <c r="C9" s="11" t="s">
        <v>1990</v>
      </c>
      <c r="D9" s="11" t="s">
        <v>1991</v>
      </c>
      <c r="E9" s="11" t="s">
        <v>20</v>
      </c>
      <c r="F9" s="11" t="s">
        <v>865</v>
      </c>
      <c r="G9" s="12" t="s">
        <v>24</v>
      </c>
      <c r="H9" s="13" t="s">
        <v>24</v>
      </c>
      <c r="I9" s="14"/>
      <c r="J9" s="14"/>
      <c r="K9" s="14" t="str">
        <f>"85,0"</f>
        <v>85,0</v>
      </c>
      <c r="L9" s="11" t="s">
        <v>59</v>
      </c>
    </row>
    <row r="10" spans="1:12" x14ac:dyDescent="0.2">
      <c r="A10" s="17" t="s">
        <v>60</v>
      </c>
      <c r="B10" s="15" t="s">
        <v>1917</v>
      </c>
      <c r="C10" s="15" t="s">
        <v>1945</v>
      </c>
      <c r="D10" s="15" t="s">
        <v>841</v>
      </c>
      <c r="E10" s="5" t="s">
        <v>1999</v>
      </c>
      <c r="F10" s="15" t="s">
        <v>1919</v>
      </c>
      <c r="G10" s="16" t="s">
        <v>35</v>
      </c>
      <c r="H10" s="18" t="s">
        <v>53</v>
      </c>
      <c r="I10" s="18" t="s">
        <v>53</v>
      </c>
      <c r="J10" s="17"/>
      <c r="K10" s="17" t="str">
        <f>"80,0"</f>
        <v>80,0</v>
      </c>
      <c r="L10" s="15" t="s">
        <v>59</v>
      </c>
    </row>
    <row r="11" spans="1:12" x14ac:dyDescent="0.2">
      <c r="A11" s="21" t="s">
        <v>16</v>
      </c>
      <c r="B11" s="19" t="s">
        <v>1917</v>
      </c>
      <c r="C11" s="19" t="s">
        <v>1918</v>
      </c>
      <c r="D11" s="19" t="s">
        <v>841</v>
      </c>
      <c r="E11" s="44" t="s">
        <v>1999</v>
      </c>
      <c r="F11" s="19" t="s">
        <v>1919</v>
      </c>
      <c r="G11" s="20" t="s">
        <v>35</v>
      </c>
      <c r="H11" s="22" t="s">
        <v>53</v>
      </c>
      <c r="I11" s="22" t="s">
        <v>53</v>
      </c>
      <c r="J11" s="21"/>
      <c r="K11" s="21" t="str">
        <f>"80,0"</f>
        <v>80,0</v>
      </c>
      <c r="L11" s="19" t="s">
        <v>59</v>
      </c>
    </row>
    <row r="12" spans="1:12" x14ac:dyDescent="0.2">
      <c r="B12" s="5" t="s">
        <v>38</v>
      </c>
    </row>
  </sheetData>
  <mergeCells count="12">
    <mergeCell ref="A5:K5"/>
    <mergeCell ref="A8:K8"/>
    <mergeCell ref="B3:B4"/>
    <mergeCell ref="A1:L2"/>
    <mergeCell ref="A3:A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B11"/>
  <sheetViews>
    <sheetView workbookViewId="0">
      <selection sqref="A1:B2"/>
    </sheetView>
  </sheetViews>
  <sheetFormatPr defaultColWidth="11.42578125" defaultRowHeight="12.75" x14ac:dyDescent="0.2"/>
  <cols>
    <col min="1" max="1" width="22" customWidth="1"/>
    <col min="2" max="2" width="23.42578125" customWidth="1"/>
  </cols>
  <sheetData>
    <row r="1" spans="1:2" ht="39.950000000000003" customHeight="1" x14ac:dyDescent="0.2">
      <c r="A1" s="99" t="s">
        <v>2004</v>
      </c>
      <c r="B1" s="100"/>
    </row>
    <row r="2" spans="1:2" ht="33.950000000000003" customHeight="1" x14ac:dyDescent="0.2">
      <c r="A2" s="101"/>
      <c r="B2" s="102"/>
    </row>
    <row r="4" spans="1:2" x14ac:dyDescent="0.2">
      <c r="A4" s="75" t="s">
        <v>2005</v>
      </c>
      <c r="B4" s="75" t="s">
        <v>2006</v>
      </c>
    </row>
    <row r="5" spans="1:2" x14ac:dyDescent="0.2">
      <c r="A5" s="75" t="s">
        <v>2007</v>
      </c>
      <c r="B5" s="75" t="s">
        <v>2008</v>
      </c>
    </row>
    <row r="6" spans="1:2" x14ac:dyDescent="0.2">
      <c r="A6" s="75" t="s">
        <v>2009</v>
      </c>
      <c r="B6" s="75" t="s">
        <v>2010</v>
      </c>
    </row>
    <row r="8" spans="1:2" x14ac:dyDescent="0.2">
      <c r="A8" s="103" t="s">
        <v>2011</v>
      </c>
      <c r="B8" s="103"/>
    </row>
    <row r="9" spans="1:2" x14ac:dyDescent="0.2">
      <c r="A9" s="75" t="s">
        <v>2005</v>
      </c>
      <c r="B9" s="71" t="s">
        <v>2012</v>
      </c>
    </row>
    <row r="10" spans="1:2" x14ac:dyDescent="0.2">
      <c r="A10" s="75" t="s">
        <v>2007</v>
      </c>
      <c r="B10" s="71" t="s">
        <v>2013</v>
      </c>
    </row>
    <row r="11" spans="1:2" x14ac:dyDescent="0.2">
      <c r="A11" s="75" t="s">
        <v>2009</v>
      </c>
      <c r="B11" s="71" t="s">
        <v>2014</v>
      </c>
    </row>
  </sheetData>
  <mergeCells count="2">
    <mergeCell ref="A1:B2"/>
    <mergeCell ref="A8:B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B37"/>
  <sheetViews>
    <sheetView workbookViewId="0">
      <selection sqref="A1:B2"/>
    </sheetView>
  </sheetViews>
  <sheetFormatPr defaultColWidth="11.42578125" defaultRowHeight="12.75" x14ac:dyDescent="0.2"/>
  <cols>
    <col min="1" max="1" width="30" customWidth="1"/>
    <col min="2" max="2" width="36.140625" customWidth="1"/>
  </cols>
  <sheetData>
    <row r="1" spans="1:2" ht="39.950000000000003" customHeight="1" x14ac:dyDescent="0.2">
      <c r="A1" s="99" t="s">
        <v>2015</v>
      </c>
      <c r="B1" s="100"/>
    </row>
    <row r="2" spans="1:2" ht="33.950000000000003" customHeight="1" x14ac:dyDescent="0.2">
      <c r="A2" s="101"/>
      <c r="B2" s="102"/>
    </row>
    <row r="4" spans="1:2" x14ac:dyDescent="0.2">
      <c r="A4" s="70" t="s">
        <v>2016</v>
      </c>
      <c r="B4" s="70" t="s">
        <v>2017</v>
      </c>
    </row>
    <row r="5" spans="1:2" x14ac:dyDescent="0.2">
      <c r="A5" s="70" t="s">
        <v>2018</v>
      </c>
      <c r="B5" s="70" t="s">
        <v>2019</v>
      </c>
    </row>
    <row r="6" spans="1:2" x14ac:dyDescent="0.2">
      <c r="A6" s="70" t="s">
        <v>2020</v>
      </c>
      <c r="B6" s="70" t="s">
        <v>2021</v>
      </c>
    </row>
    <row r="7" spans="1:2" x14ac:dyDescent="0.2">
      <c r="A7" s="70"/>
      <c r="B7" s="70" t="s">
        <v>2022</v>
      </c>
    </row>
    <row r="8" spans="1:2" x14ac:dyDescent="0.2">
      <c r="A8" s="70"/>
      <c r="B8" s="70" t="s">
        <v>2023</v>
      </c>
    </row>
    <row r="9" spans="1:2" x14ac:dyDescent="0.2">
      <c r="A9" s="70"/>
      <c r="B9" s="70" t="s">
        <v>2024</v>
      </c>
    </row>
    <row r="10" spans="1:2" x14ac:dyDescent="0.2">
      <c r="A10" s="70"/>
      <c r="B10" s="70" t="s">
        <v>2025</v>
      </c>
    </row>
    <row r="11" spans="1:2" x14ac:dyDescent="0.2">
      <c r="A11" s="70" t="s">
        <v>2026</v>
      </c>
      <c r="B11" s="70" t="s">
        <v>2027</v>
      </c>
    </row>
    <row r="12" spans="1:2" x14ac:dyDescent="0.2">
      <c r="A12" s="70"/>
      <c r="B12" s="70" t="s">
        <v>2028</v>
      </c>
    </row>
    <row r="13" spans="1:2" x14ac:dyDescent="0.2">
      <c r="A13" s="70"/>
      <c r="B13" s="70" t="s">
        <v>2029</v>
      </c>
    </row>
    <row r="14" spans="1:2" x14ac:dyDescent="0.2">
      <c r="A14" s="70"/>
      <c r="B14" s="70" t="s">
        <v>2030</v>
      </c>
    </row>
    <row r="15" spans="1:2" x14ac:dyDescent="0.2">
      <c r="A15" s="70"/>
      <c r="B15" s="70" t="s">
        <v>2031</v>
      </c>
    </row>
    <row r="16" spans="1:2" x14ac:dyDescent="0.2">
      <c r="A16" s="70"/>
      <c r="B16" s="70" t="s">
        <v>2032</v>
      </c>
    </row>
    <row r="17" spans="1:2" x14ac:dyDescent="0.2">
      <c r="A17" s="70"/>
      <c r="B17" s="70" t="s">
        <v>2033</v>
      </c>
    </row>
    <row r="18" spans="1:2" x14ac:dyDescent="0.2">
      <c r="A18" s="70"/>
      <c r="B18" s="70" t="s">
        <v>2034</v>
      </c>
    </row>
    <row r="19" spans="1:2" x14ac:dyDescent="0.2">
      <c r="A19" s="70"/>
      <c r="B19" s="70" t="s">
        <v>2035</v>
      </c>
    </row>
    <row r="20" spans="1:2" x14ac:dyDescent="0.2">
      <c r="A20" s="70"/>
      <c r="B20" s="70" t="s">
        <v>2036</v>
      </c>
    </row>
    <row r="21" spans="1:2" x14ac:dyDescent="0.2">
      <c r="A21" s="70"/>
      <c r="B21" s="70" t="s">
        <v>2037</v>
      </c>
    </row>
    <row r="22" spans="1:2" x14ac:dyDescent="0.2">
      <c r="A22" s="70"/>
      <c r="B22" s="70"/>
    </row>
    <row r="23" spans="1:2" x14ac:dyDescent="0.2">
      <c r="A23" s="70"/>
      <c r="B23" s="70"/>
    </row>
    <row r="24" spans="1:2" x14ac:dyDescent="0.2">
      <c r="A24" s="70"/>
      <c r="B24" s="70"/>
    </row>
    <row r="25" spans="1:2" x14ac:dyDescent="0.2">
      <c r="A25" s="70"/>
      <c r="B25" s="70"/>
    </row>
    <row r="26" spans="1:2" x14ac:dyDescent="0.2">
      <c r="A26" s="70"/>
      <c r="B26" s="70"/>
    </row>
    <row r="27" spans="1:2" x14ac:dyDescent="0.2">
      <c r="A27" s="70"/>
      <c r="B27" s="70"/>
    </row>
    <row r="28" spans="1:2" x14ac:dyDescent="0.2">
      <c r="A28" s="70"/>
      <c r="B28" s="70"/>
    </row>
    <row r="29" spans="1:2" x14ac:dyDescent="0.2">
      <c r="A29" s="70"/>
      <c r="B29" s="70"/>
    </row>
    <row r="30" spans="1:2" x14ac:dyDescent="0.2">
      <c r="A30" s="70"/>
      <c r="B30" s="70"/>
    </row>
    <row r="31" spans="1:2" x14ac:dyDescent="0.2">
      <c r="A31" s="70"/>
      <c r="B31" s="70"/>
    </row>
    <row r="32" spans="1:2" x14ac:dyDescent="0.2">
      <c r="A32" s="70"/>
      <c r="B32" s="70"/>
    </row>
    <row r="33" spans="1:2" x14ac:dyDescent="0.2">
      <c r="A33" s="70"/>
      <c r="B33" s="70"/>
    </row>
    <row r="34" spans="1:2" x14ac:dyDescent="0.2">
      <c r="A34" s="70"/>
      <c r="B34" s="70"/>
    </row>
    <row r="35" spans="1:2" x14ac:dyDescent="0.2">
      <c r="A35" s="70"/>
      <c r="B35" s="70"/>
    </row>
    <row r="36" spans="1:2" x14ac:dyDescent="0.2">
      <c r="A36" s="70"/>
      <c r="B36" s="70"/>
    </row>
    <row r="37" spans="1:2" x14ac:dyDescent="0.2">
      <c r="A37" s="70"/>
      <c r="B37" s="70"/>
    </row>
  </sheetData>
  <mergeCells count="1">
    <mergeCell ref="A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V66"/>
  <sheetViews>
    <sheetView zoomScaleNormal="100" workbookViewId="0">
      <selection sqref="A1:V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3.140625" style="5" customWidth="1"/>
    <col min="8" max="10" width="5.42578125" style="6" bestFit="1" customWidth="1"/>
    <col min="11" max="11" width="4.85546875" style="6" bestFit="1" customWidth="1"/>
    <col min="12" max="14" width="5.42578125" style="6" bestFit="1" customWidth="1"/>
    <col min="15" max="15" width="4.85546875" style="6" bestFit="1" customWidth="1"/>
    <col min="16" max="19" width="5.42578125" style="6" bestFit="1" customWidth="1"/>
    <col min="20" max="20" width="7.85546875" style="30" bestFit="1" customWidth="1"/>
    <col min="21" max="21" width="8.42578125" style="6" bestFit="1" customWidth="1"/>
    <col min="22" max="22" width="22.42578125" style="5" bestFit="1" customWidth="1"/>
    <col min="23" max="16384" width="9.140625" style="3"/>
  </cols>
  <sheetData>
    <row r="1" spans="1:22" s="2" customFormat="1" ht="29.1" customHeight="1" x14ac:dyDescent="0.2">
      <c r="A1" s="83" t="s">
        <v>611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</row>
    <row r="2" spans="1:22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/>
      <c r="J3" s="94"/>
      <c r="K3" s="94"/>
      <c r="L3" s="94" t="s">
        <v>9</v>
      </c>
      <c r="M3" s="94"/>
      <c r="N3" s="94"/>
      <c r="O3" s="94"/>
      <c r="P3" s="94" t="s">
        <v>10</v>
      </c>
      <c r="Q3" s="94"/>
      <c r="R3" s="94"/>
      <c r="S3" s="94"/>
      <c r="T3" s="97" t="s">
        <v>11</v>
      </c>
      <c r="U3" s="94" t="s">
        <v>12</v>
      </c>
      <c r="V3" s="77" t="s">
        <v>13</v>
      </c>
    </row>
    <row r="4" spans="1:22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74">
        <v>1</v>
      </c>
      <c r="M4" s="74">
        <v>2</v>
      </c>
      <c r="N4" s="74">
        <v>3</v>
      </c>
      <c r="O4" s="74" t="s">
        <v>14</v>
      </c>
      <c r="P4" s="74">
        <v>1</v>
      </c>
      <c r="Q4" s="74">
        <v>2</v>
      </c>
      <c r="R4" s="74">
        <v>3</v>
      </c>
      <c r="S4" s="74" t="s">
        <v>14</v>
      </c>
      <c r="T4" s="98"/>
      <c r="U4" s="93"/>
      <c r="V4" s="78"/>
    </row>
    <row r="5" spans="1:22" ht="15" x14ac:dyDescent="0.2">
      <c r="A5" s="79" t="s">
        <v>48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2" x14ac:dyDescent="0.2">
      <c r="A6" s="10" t="s">
        <v>16</v>
      </c>
      <c r="B6" s="7" t="s">
        <v>612</v>
      </c>
      <c r="C6" s="7" t="s">
        <v>613</v>
      </c>
      <c r="D6" s="7" t="s">
        <v>614</v>
      </c>
      <c r="E6" s="7" t="str">
        <f>"1,1401"</f>
        <v>1,1401</v>
      </c>
      <c r="F6" s="7" t="s">
        <v>20</v>
      </c>
      <c r="G6" s="7" t="s">
        <v>615</v>
      </c>
      <c r="H6" s="8" t="s">
        <v>53</v>
      </c>
      <c r="I6" s="8" t="s">
        <v>30</v>
      </c>
      <c r="J6" s="9" t="s">
        <v>82</v>
      </c>
      <c r="K6" s="10"/>
      <c r="L6" s="8" t="s">
        <v>44</v>
      </c>
      <c r="M6" s="8" t="s">
        <v>70</v>
      </c>
      <c r="N6" s="9" t="s">
        <v>54</v>
      </c>
      <c r="O6" s="10"/>
      <c r="P6" s="8" t="s">
        <v>30</v>
      </c>
      <c r="Q6" s="8" t="s">
        <v>82</v>
      </c>
      <c r="R6" s="8" t="s">
        <v>116</v>
      </c>
      <c r="S6" s="10"/>
      <c r="T6" s="31" t="str">
        <f>"272,5"</f>
        <v>272,5</v>
      </c>
      <c r="U6" s="10" t="str">
        <f>"310,6773"</f>
        <v>310,6773</v>
      </c>
      <c r="V6" s="7" t="s">
        <v>616</v>
      </c>
    </row>
    <row r="7" spans="1:22" x14ac:dyDescent="0.2">
      <c r="B7" s="5" t="s">
        <v>38</v>
      </c>
    </row>
    <row r="8" spans="1:22" ht="15" x14ac:dyDescent="0.2">
      <c r="A8" s="81" t="s">
        <v>131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2" x14ac:dyDescent="0.2">
      <c r="A9" s="10" t="s">
        <v>16</v>
      </c>
      <c r="B9" s="7" t="s">
        <v>617</v>
      </c>
      <c r="C9" s="7" t="s">
        <v>618</v>
      </c>
      <c r="D9" s="7" t="s">
        <v>189</v>
      </c>
      <c r="E9" s="7" t="str">
        <f>"0,9547"</f>
        <v>0,9547</v>
      </c>
      <c r="F9" s="7" t="s">
        <v>20</v>
      </c>
      <c r="G9" s="7" t="s">
        <v>619</v>
      </c>
      <c r="H9" s="9" t="s">
        <v>143</v>
      </c>
      <c r="I9" s="8" t="s">
        <v>143</v>
      </c>
      <c r="J9" s="9" t="s">
        <v>144</v>
      </c>
      <c r="K9" s="10"/>
      <c r="L9" s="8" t="s">
        <v>30</v>
      </c>
      <c r="M9" s="8" t="s">
        <v>378</v>
      </c>
      <c r="N9" s="9" t="s">
        <v>386</v>
      </c>
      <c r="O9" s="10"/>
      <c r="P9" s="8" t="s">
        <v>143</v>
      </c>
      <c r="Q9" s="8" t="s">
        <v>144</v>
      </c>
      <c r="R9" s="8" t="s">
        <v>223</v>
      </c>
      <c r="S9" s="10"/>
      <c r="T9" s="31" t="str">
        <f>"522,5"</f>
        <v>522,5</v>
      </c>
      <c r="U9" s="10" t="str">
        <f>"498,8307"</f>
        <v>498,8307</v>
      </c>
      <c r="V9" s="7" t="s">
        <v>620</v>
      </c>
    </row>
    <row r="10" spans="1:22" x14ac:dyDescent="0.2">
      <c r="B10" s="5" t="s">
        <v>38</v>
      </c>
    </row>
    <row r="11" spans="1:22" ht="15" x14ac:dyDescent="0.2">
      <c r="A11" s="81" t="s">
        <v>192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2" x14ac:dyDescent="0.2">
      <c r="A12" s="14" t="s">
        <v>16</v>
      </c>
      <c r="B12" s="11" t="s">
        <v>621</v>
      </c>
      <c r="C12" s="11" t="s">
        <v>622</v>
      </c>
      <c r="D12" s="11" t="s">
        <v>200</v>
      </c>
      <c r="E12" s="11" t="str">
        <f>"0,6724"</f>
        <v>0,6724</v>
      </c>
      <c r="F12" s="11" t="s">
        <v>623</v>
      </c>
      <c r="G12" s="11" t="s">
        <v>624</v>
      </c>
      <c r="H12" s="12" t="s">
        <v>496</v>
      </c>
      <c r="I12" s="13" t="s">
        <v>496</v>
      </c>
      <c r="J12" s="12" t="s">
        <v>625</v>
      </c>
      <c r="K12" s="14"/>
      <c r="L12" s="13" t="s">
        <v>136</v>
      </c>
      <c r="M12" s="13" t="s">
        <v>478</v>
      </c>
      <c r="N12" s="13" t="s">
        <v>266</v>
      </c>
      <c r="O12" s="14"/>
      <c r="P12" s="13" t="s">
        <v>626</v>
      </c>
      <c r="Q12" s="12" t="s">
        <v>499</v>
      </c>
      <c r="R12" s="12" t="s">
        <v>499</v>
      </c>
      <c r="S12" s="14"/>
      <c r="T12" s="28" t="str">
        <f>"797,5"</f>
        <v>797,5</v>
      </c>
      <c r="U12" s="14" t="str">
        <f>"536,2390"</f>
        <v>536,2390</v>
      </c>
      <c r="V12" s="11" t="s">
        <v>59</v>
      </c>
    </row>
    <row r="13" spans="1:22" x14ac:dyDescent="0.2">
      <c r="A13" s="17" t="s">
        <v>186</v>
      </c>
      <c r="B13" s="15" t="s">
        <v>627</v>
      </c>
      <c r="C13" s="15" t="s">
        <v>628</v>
      </c>
      <c r="D13" s="15" t="s">
        <v>200</v>
      </c>
      <c r="E13" s="15" t="str">
        <f>"0,6724"</f>
        <v>0,6724</v>
      </c>
      <c r="F13" s="15" t="s">
        <v>171</v>
      </c>
      <c r="G13" s="15" t="s">
        <v>561</v>
      </c>
      <c r="H13" s="16" t="s">
        <v>175</v>
      </c>
      <c r="I13" s="16" t="s">
        <v>629</v>
      </c>
      <c r="J13" s="16" t="s">
        <v>301</v>
      </c>
      <c r="K13" s="17"/>
      <c r="L13" s="18" t="s">
        <v>227</v>
      </c>
      <c r="M13" s="18" t="s">
        <v>228</v>
      </c>
      <c r="N13" s="18" t="s">
        <v>228</v>
      </c>
      <c r="O13" s="17"/>
      <c r="P13" s="18"/>
      <c r="Q13" s="17"/>
      <c r="R13" s="17"/>
      <c r="S13" s="17"/>
      <c r="T13" s="32">
        <v>0</v>
      </c>
      <c r="U13" s="17" t="str">
        <f>"0,0000"</f>
        <v>0,0000</v>
      </c>
      <c r="V13" s="15" t="s">
        <v>630</v>
      </c>
    </row>
    <row r="14" spans="1:22" x14ac:dyDescent="0.2">
      <c r="A14" s="17" t="s">
        <v>16</v>
      </c>
      <c r="B14" s="15" t="s">
        <v>631</v>
      </c>
      <c r="C14" s="15" t="s">
        <v>632</v>
      </c>
      <c r="D14" s="15" t="s">
        <v>244</v>
      </c>
      <c r="E14" s="15" t="str">
        <f>"0,6719"</f>
        <v>0,6719</v>
      </c>
      <c r="F14" s="15" t="s">
        <v>20</v>
      </c>
      <c r="G14" s="15" t="s">
        <v>633</v>
      </c>
      <c r="H14" s="16" t="s">
        <v>414</v>
      </c>
      <c r="I14" s="16" t="s">
        <v>525</v>
      </c>
      <c r="J14" s="16" t="s">
        <v>496</v>
      </c>
      <c r="K14" s="17"/>
      <c r="L14" s="16" t="s">
        <v>98</v>
      </c>
      <c r="M14" s="16" t="s">
        <v>227</v>
      </c>
      <c r="N14" s="16" t="s">
        <v>228</v>
      </c>
      <c r="O14" s="17"/>
      <c r="P14" s="16" t="s">
        <v>440</v>
      </c>
      <c r="Q14" s="18" t="s">
        <v>449</v>
      </c>
      <c r="R14" s="18" t="s">
        <v>449</v>
      </c>
      <c r="S14" s="17"/>
      <c r="T14" s="32" t="str">
        <f>"797,5"</f>
        <v>797,5</v>
      </c>
      <c r="U14" s="17" t="str">
        <f>"535,8402"</f>
        <v>535,8402</v>
      </c>
      <c r="V14" s="15" t="s">
        <v>59</v>
      </c>
    </row>
    <row r="15" spans="1:22" x14ac:dyDescent="0.2">
      <c r="A15" s="21" t="s">
        <v>186</v>
      </c>
      <c r="B15" s="19" t="s">
        <v>627</v>
      </c>
      <c r="C15" s="19" t="s">
        <v>634</v>
      </c>
      <c r="D15" s="19" t="s">
        <v>200</v>
      </c>
      <c r="E15" s="19" t="str">
        <f>"0,6724"</f>
        <v>0,6724</v>
      </c>
      <c r="F15" s="19" t="s">
        <v>171</v>
      </c>
      <c r="G15" s="19" t="s">
        <v>561</v>
      </c>
      <c r="H15" s="20" t="s">
        <v>175</v>
      </c>
      <c r="I15" s="20" t="s">
        <v>629</v>
      </c>
      <c r="J15" s="20" t="s">
        <v>301</v>
      </c>
      <c r="K15" s="21"/>
      <c r="L15" s="22" t="s">
        <v>227</v>
      </c>
      <c r="M15" s="22" t="s">
        <v>228</v>
      </c>
      <c r="N15" s="22" t="s">
        <v>228</v>
      </c>
      <c r="O15" s="21"/>
      <c r="P15" s="22"/>
      <c r="Q15" s="21"/>
      <c r="R15" s="21"/>
      <c r="S15" s="21"/>
      <c r="T15" s="29">
        <v>0</v>
      </c>
      <c r="U15" s="21" t="str">
        <f>"0,0000"</f>
        <v>0,0000</v>
      </c>
      <c r="V15" s="19" t="s">
        <v>630</v>
      </c>
    </row>
    <row r="16" spans="1:22" x14ac:dyDescent="0.2">
      <c r="B16" s="5" t="s">
        <v>38</v>
      </c>
    </row>
    <row r="17" spans="1:22" ht="15" x14ac:dyDescent="0.2">
      <c r="A17" s="81" t="s">
        <v>246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2" x14ac:dyDescent="0.2">
      <c r="A18" s="14" t="s">
        <v>186</v>
      </c>
      <c r="B18" s="11" t="s">
        <v>635</v>
      </c>
      <c r="C18" s="11" t="s">
        <v>636</v>
      </c>
      <c r="D18" s="11" t="s">
        <v>637</v>
      </c>
      <c r="E18" s="11" t="str">
        <f>"0,6540"</f>
        <v>0,6540</v>
      </c>
      <c r="F18" s="11" t="s">
        <v>20</v>
      </c>
      <c r="G18" s="11" t="s">
        <v>69</v>
      </c>
      <c r="H18" s="12" t="s">
        <v>223</v>
      </c>
      <c r="I18" s="12" t="s">
        <v>223</v>
      </c>
      <c r="J18" s="12" t="s">
        <v>223</v>
      </c>
      <c r="K18" s="14"/>
      <c r="L18" s="12"/>
      <c r="M18" s="14"/>
      <c r="N18" s="14"/>
      <c r="O18" s="14"/>
      <c r="P18" s="12"/>
      <c r="Q18" s="14"/>
      <c r="R18" s="14"/>
      <c r="S18" s="14"/>
      <c r="T18" s="28">
        <v>0</v>
      </c>
      <c r="U18" s="14" t="str">
        <f>"0,0000"</f>
        <v>0,0000</v>
      </c>
      <c r="V18" s="11" t="s">
        <v>59</v>
      </c>
    </row>
    <row r="19" spans="1:22" x14ac:dyDescent="0.2">
      <c r="A19" s="17" t="s">
        <v>16</v>
      </c>
      <c r="B19" s="15" t="s">
        <v>638</v>
      </c>
      <c r="C19" s="15" t="s">
        <v>639</v>
      </c>
      <c r="D19" s="15" t="s">
        <v>640</v>
      </c>
      <c r="E19" s="15" t="str">
        <f>"0,6606"</f>
        <v>0,6606</v>
      </c>
      <c r="F19" s="15" t="s">
        <v>20</v>
      </c>
      <c r="G19" s="15" t="s">
        <v>579</v>
      </c>
      <c r="H19" s="16" t="s">
        <v>250</v>
      </c>
      <c r="I19" s="18" t="s">
        <v>154</v>
      </c>
      <c r="J19" s="18" t="s">
        <v>251</v>
      </c>
      <c r="K19" s="17"/>
      <c r="L19" s="16" t="s">
        <v>136</v>
      </c>
      <c r="M19" s="16" t="s">
        <v>98</v>
      </c>
      <c r="N19" s="16" t="s">
        <v>110</v>
      </c>
      <c r="O19" s="17"/>
      <c r="P19" s="16" t="s">
        <v>153</v>
      </c>
      <c r="Q19" s="16" t="s">
        <v>250</v>
      </c>
      <c r="R19" s="16" t="s">
        <v>154</v>
      </c>
      <c r="S19" s="17"/>
      <c r="T19" s="32" t="str">
        <f>"655,0"</f>
        <v>655,0</v>
      </c>
      <c r="U19" s="17" t="str">
        <f>"432,6930"</f>
        <v>432,6930</v>
      </c>
      <c r="V19" s="15" t="s">
        <v>59</v>
      </c>
    </row>
    <row r="20" spans="1:22" x14ac:dyDescent="0.2">
      <c r="A20" s="17" t="s">
        <v>60</v>
      </c>
      <c r="B20" s="15" t="s">
        <v>641</v>
      </c>
      <c r="C20" s="15" t="s">
        <v>642</v>
      </c>
      <c r="D20" s="15" t="s">
        <v>643</v>
      </c>
      <c r="E20" s="15" t="str">
        <f>"0,6417"</f>
        <v>0,6417</v>
      </c>
      <c r="F20" s="15" t="s">
        <v>20</v>
      </c>
      <c r="G20" s="15" t="s">
        <v>69</v>
      </c>
      <c r="H20" s="18" t="s">
        <v>644</v>
      </c>
      <c r="I20" s="16" t="s">
        <v>208</v>
      </c>
      <c r="J20" s="18" t="s">
        <v>146</v>
      </c>
      <c r="K20" s="17"/>
      <c r="L20" s="16" t="s">
        <v>136</v>
      </c>
      <c r="M20" s="16" t="s">
        <v>98</v>
      </c>
      <c r="N20" s="17"/>
      <c r="O20" s="17"/>
      <c r="P20" s="16" t="s">
        <v>153</v>
      </c>
      <c r="Q20" s="16" t="s">
        <v>313</v>
      </c>
      <c r="R20" s="16" t="s">
        <v>154</v>
      </c>
      <c r="S20" s="17"/>
      <c r="T20" s="32" t="str">
        <f>"645,0"</f>
        <v>645,0</v>
      </c>
      <c r="U20" s="17" t="str">
        <f>"413,8965"</f>
        <v>413,8965</v>
      </c>
      <c r="V20" s="15" t="s">
        <v>59</v>
      </c>
    </row>
    <row r="21" spans="1:22" x14ac:dyDescent="0.2">
      <c r="A21" s="17" t="s">
        <v>65</v>
      </c>
      <c r="B21" s="15" t="s">
        <v>645</v>
      </c>
      <c r="C21" s="15" t="s">
        <v>646</v>
      </c>
      <c r="D21" s="15" t="s">
        <v>647</v>
      </c>
      <c r="E21" s="15" t="str">
        <f>"0,6436"</f>
        <v>0,6436</v>
      </c>
      <c r="F21" s="15" t="s">
        <v>20</v>
      </c>
      <c r="G21" s="15" t="s">
        <v>69</v>
      </c>
      <c r="H21" s="18" t="s">
        <v>250</v>
      </c>
      <c r="I21" s="16" t="s">
        <v>250</v>
      </c>
      <c r="J21" s="16" t="s">
        <v>174</v>
      </c>
      <c r="K21" s="17"/>
      <c r="L21" s="16" t="s">
        <v>83</v>
      </c>
      <c r="M21" s="16" t="s">
        <v>91</v>
      </c>
      <c r="N21" s="16" t="s">
        <v>136</v>
      </c>
      <c r="O21" s="17"/>
      <c r="P21" s="16" t="s">
        <v>144</v>
      </c>
      <c r="Q21" s="16" t="s">
        <v>153</v>
      </c>
      <c r="R21" s="18" t="s">
        <v>208</v>
      </c>
      <c r="S21" s="17"/>
      <c r="T21" s="32" t="str">
        <f>"625,0"</f>
        <v>625,0</v>
      </c>
      <c r="U21" s="17" t="str">
        <f>"402,2500"</f>
        <v>402,2500</v>
      </c>
      <c r="V21" s="15" t="s">
        <v>648</v>
      </c>
    </row>
    <row r="22" spans="1:22" x14ac:dyDescent="0.2">
      <c r="A22" s="17" t="s">
        <v>186</v>
      </c>
      <c r="B22" s="15" t="s">
        <v>649</v>
      </c>
      <c r="C22" s="15" t="s">
        <v>650</v>
      </c>
      <c r="D22" s="15" t="s">
        <v>438</v>
      </c>
      <c r="E22" s="15" t="str">
        <f>"0,6391"</f>
        <v>0,6391</v>
      </c>
      <c r="F22" s="15" t="s">
        <v>20</v>
      </c>
      <c r="G22" s="15" t="s">
        <v>651</v>
      </c>
      <c r="H22" s="18" t="s">
        <v>259</v>
      </c>
      <c r="I22" s="18" t="s">
        <v>259</v>
      </c>
      <c r="J22" s="18" t="s">
        <v>259</v>
      </c>
      <c r="K22" s="17"/>
      <c r="L22" s="18"/>
      <c r="M22" s="17"/>
      <c r="N22" s="17"/>
      <c r="O22" s="17"/>
      <c r="P22" s="18"/>
      <c r="Q22" s="17"/>
      <c r="R22" s="17"/>
      <c r="S22" s="17"/>
      <c r="T22" s="32">
        <v>0</v>
      </c>
      <c r="U22" s="17" t="str">
        <f>"0,0000"</f>
        <v>0,0000</v>
      </c>
      <c r="V22" s="15" t="s">
        <v>59</v>
      </c>
    </row>
    <row r="23" spans="1:22" x14ac:dyDescent="0.2">
      <c r="A23" s="17" t="s">
        <v>16</v>
      </c>
      <c r="B23" s="15" t="s">
        <v>645</v>
      </c>
      <c r="C23" s="15" t="s">
        <v>652</v>
      </c>
      <c r="D23" s="15" t="s">
        <v>647</v>
      </c>
      <c r="E23" s="15" t="str">
        <f>"0,6436"</f>
        <v>0,6436</v>
      </c>
      <c r="F23" s="15" t="s">
        <v>20</v>
      </c>
      <c r="G23" s="15" t="s">
        <v>69</v>
      </c>
      <c r="H23" s="18" t="s">
        <v>250</v>
      </c>
      <c r="I23" s="16" t="s">
        <v>250</v>
      </c>
      <c r="J23" s="16" t="s">
        <v>174</v>
      </c>
      <c r="K23" s="17"/>
      <c r="L23" s="16" t="s">
        <v>83</v>
      </c>
      <c r="M23" s="16" t="s">
        <v>91</v>
      </c>
      <c r="N23" s="16" t="s">
        <v>136</v>
      </c>
      <c r="O23" s="17"/>
      <c r="P23" s="16" t="s">
        <v>144</v>
      </c>
      <c r="Q23" s="16" t="s">
        <v>153</v>
      </c>
      <c r="R23" s="18" t="s">
        <v>208</v>
      </c>
      <c r="S23" s="17"/>
      <c r="T23" s="32" t="str">
        <f>"625,0"</f>
        <v>625,0</v>
      </c>
      <c r="U23" s="17" t="str">
        <f>"402,2500"</f>
        <v>402,2500</v>
      </c>
      <c r="V23" s="15" t="s">
        <v>648</v>
      </c>
    </row>
    <row r="24" spans="1:22" x14ac:dyDescent="0.2">
      <c r="A24" s="21" t="s">
        <v>16</v>
      </c>
      <c r="B24" s="19" t="s">
        <v>653</v>
      </c>
      <c r="C24" s="19" t="s">
        <v>654</v>
      </c>
      <c r="D24" s="19" t="s">
        <v>655</v>
      </c>
      <c r="E24" s="19" t="str">
        <f>"0,6528"</f>
        <v>0,6528</v>
      </c>
      <c r="F24" s="19" t="s">
        <v>171</v>
      </c>
      <c r="G24" s="19" t="s">
        <v>656</v>
      </c>
      <c r="H24" s="20" t="s">
        <v>145</v>
      </c>
      <c r="I24" s="20" t="s">
        <v>250</v>
      </c>
      <c r="J24" s="22" t="s">
        <v>271</v>
      </c>
      <c r="K24" s="21"/>
      <c r="L24" s="20" t="s">
        <v>136</v>
      </c>
      <c r="M24" s="22" t="s">
        <v>98</v>
      </c>
      <c r="N24" s="20" t="s">
        <v>98</v>
      </c>
      <c r="O24" s="21"/>
      <c r="P24" s="20" t="s">
        <v>154</v>
      </c>
      <c r="Q24" s="20" t="s">
        <v>155</v>
      </c>
      <c r="R24" s="20" t="s">
        <v>413</v>
      </c>
      <c r="S24" s="20" t="s">
        <v>259</v>
      </c>
      <c r="T24" s="29" t="str">
        <f>"680,0"</f>
        <v>680,0</v>
      </c>
      <c r="U24" s="21" t="str">
        <f>"526,9141"</f>
        <v>526,9141</v>
      </c>
      <c r="V24" s="19" t="s">
        <v>59</v>
      </c>
    </row>
    <row r="25" spans="1:22" x14ac:dyDescent="0.2">
      <c r="B25" s="5" t="s">
        <v>38</v>
      </c>
    </row>
    <row r="26" spans="1:22" ht="15" x14ac:dyDescent="0.2">
      <c r="A26" s="81" t="s">
        <v>295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2" x14ac:dyDescent="0.2">
      <c r="A27" s="14" t="s">
        <v>16</v>
      </c>
      <c r="B27" s="11" t="s">
        <v>657</v>
      </c>
      <c r="C27" s="11" t="s">
        <v>658</v>
      </c>
      <c r="D27" s="11" t="s">
        <v>474</v>
      </c>
      <c r="E27" s="11" t="str">
        <f>"0,6172"</f>
        <v>0,6172</v>
      </c>
      <c r="F27" s="11" t="s">
        <v>659</v>
      </c>
      <c r="G27" s="11" t="s">
        <v>660</v>
      </c>
      <c r="H27" s="13" t="s">
        <v>251</v>
      </c>
      <c r="I27" s="13" t="s">
        <v>413</v>
      </c>
      <c r="J27" s="13" t="s">
        <v>440</v>
      </c>
      <c r="K27" s="14"/>
      <c r="L27" s="13" t="s">
        <v>118</v>
      </c>
      <c r="M27" s="13" t="s">
        <v>98</v>
      </c>
      <c r="N27" s="12" t="s">
        <v>137</v>
      </c>
      <c r="O27" s="14"/>
      <c r="P27" s="12" t="s">
        <v>252</v>
      </c>
      <c r="Q27" s="13" t="s">
        <v>252</v>
      </c>
      <c r="R27" s="13" t="s">
        <v>661</v>
      </c>
      <c r="S27" s="14"/>
      <c r="T27" s="28" t="str">
        <f>"756,0"</f>
        <v>756,0</v>
      </c>
      <c r="U27" s="14" t="str">
        <f>"466,6032"</f>
        <v>466,6032</v>
      </c>
      <c r="V27" s="11" t="s">
        <v>662</v>
      </c>
    </row>
    <row r="28" spans="1:22" x14ac:dyDescent="0.2">
      <c r="A28" s="17" t="s">
        <v>16</v>
      </c>
      <c r="B28" s="15" t="s">
        <v>663</v>
      </c>
      <c r="C28" s="15" t="s">
        <v>664</v>
      </c>
      <c r="D28" s="15" t="s">
        <v>665</v>
      </c>
      <c r="E28" s="15" t="str">
        <f>"0,6139"</f>
        <v>0,6139</v>
      </c>
      <c r="F28" s="15" t="s">
        <v>96</v>
      </c>
      <c r="G28" s="15" t="s">
        <v>666</v>
      </c>
      <c r="H28" s="16" t="s">
        <v>414</v>
      </c>
      <c r="I28" s="18" t="s">
        <v>449</v>
      </c>
      <c r="J28" s="16" t="s">
        <v>449</v>
      </c>
      <c r="K28" s="17"/>
      <c r="L28" s="16" t="s">
        <v>100</v>
      </c>
      <c r="M28" s="16" t="s">
        <v>144</v>
      </c>
      <c r="N28" s="17"/>
      <c r="O28" s="17"/>
      <c r="P28" s="16" t="s">
        <v>261</v>
      </c>
      <c r="Q28" s="18" t="s">
        <v>667</v>
      </c>
      <c r="R28" s="18" t="s">
        <v>525</v>
      </c>
      <c r="S28" s="17"/>
      <c r="T28" s="32" t="str">
        <f>"835,0"</f>
        <v>835,0</v>
      </c>
      <c r="U28" s="17" t="str">
        <f>"512,6065"</f>
        <v>512,6065</v>
      </c>
      <c r="V28" s="15" t="s">
        <v>668</v>
      </c>
    </row>
    <row r="29" spans="1:22" x14ac:dyDescent="0.2">
      <c r="A29" s="17" t="s">
        <v>60</v>
      </c>
      <c r="B29" s="15" t="s">
        <v>669</v>
      </c>
      <c r="C29" s="15" t="s">
        <v>670</v>
      </c>
      <c r="D29" s="15" t="s">
        <v>671</v>
      </c>
      <c r="E29" s="15" t="str">
        <f>"0,6121"</f>
        <v>0,6121</v>
      </c>
      <c r="F29" s="15" t="s">
        <v>672</v>
      </c>
      <c r="G29" s="15" t="s">
        <v>673</v>
      </c>
      <c r="H29" s="16" t="s">
        <v>499</v>
      </c>
      <c r="I29" s="18" t="s">
        <v>496</v>
      </c>
      <c r="J29" s="16" t="s">
        <v>496</v>
      </c>
      <c r="K29" s="17"/>
      <c r="L29" s="16" t="s">
        <v>123</v>
      </c>
      <c r="M29" s="16" t="s">
        <v>166</v>
      </c>
      <c r="N29" s="18" t="s">
        <v>124</v>
      </c>
      <c r="O29" s="17"/>
      <c r="P29" s="16" t="s">
        <v>499</v>
      </c>
      <c r="Q29" s="18" t="s">
        <v>496</v>
      </c>
      <c r="R29" s="18" t="s">
        <v>496</v>
      </c>
      <c r="S29" s="17"/>
      <c r="T29" s="32" t="str">
        <f>"835,0"</f>
        <v>835,0</v>
      </c>
      <c r="U29" s="17" t="str">
        <f>"511,1035"</f>
        <v>511,1035</v>
      </c>
      <c r="V29" s="15" t="s">
        <v>59</v>
      </c>
    </row>
    <row r="30" spans="1:22" x14ac:dyDescent="0.2">
      <c r="A30" s="17" t="s">
        <v>65</v>
      </c>
      <c r="B30" s="15" t="s">
        <v>674</v>
      </c>
      <c r="C30" s="15" t="s">
        <v>675</v>
      </c>
      <c r="D30" s="15" t="s">
        <v>676</v>
      </c>
      <c r="E30" s="15" t="str">
        <f>"0,6158"</f>
        <v>0,6158</v>
      </c>
      <c r="F30" s="15" t="s">
        <v>20</v>
      </c>
      <c r="G30" s="15" t="s">
        <v>677</v>
      </c>
      <c r="H30" s="16" t="s">
        <v>499</v>
      </c>
      <c r="I30" s="18" t="s">
        <v>678</v>
      </c>
      <c r="J30" s="18" t="s">
        <v>678</v>
      </c>
      <c r="K30" s="17"/>
      <c r="L30" s="18" t="s">
        <v>137</v>
      </c>
      <c r="M30" s="16" t="s">
        <v>137</v>
      </c>
      <c r="N30" s="18" t="s">
        <v>166</v>
      </c>
      <c r="O30" s="17"/>
      <c r="P30" s="16" t="s">
        <v>499</v>
      </c>
      <c r="Q30" s="18" t="s">
        <v>625</v>
      </c>
      <c r="R30" s="18" t="s">
        <v>497</v>
      </c>
      <c r="S30" s="17"/>
      <c r="T30" s="32" t="str">
        <f>"815,0"</f>
        <v>815,0</v>
      </c>
      <c r="U30" s="17" t="str">
        <f>"501,8770"</f>
        <v>501,8770</v>
      </c>
      <c r="V30" s="15" t="s">
        <v>59</v>
      </c>
    </row>
    <row r="31" spans="1:22" x14ac:dyDescent="0.2">
      <c r="A31" s="17" t="s">
        <v>182</v>
      </c>
      <c r="B31" s="15" t="s">
        <v>679</v>
      </c>
      <c r="C31" s="15" t="s">
        <v>680</v>
      </c>
      <c r="D31" s="15" t="s">
        <v>681</v>
      </c>
      <c r="E31" s="15" t="str">
        <f>"0,6096"</f>
        <v>0,6096</v>
      </c>
      <c r="F31" s="15" t="s">
        <v>20</v>
      </c>
      <c r="G31" s="15" t="s">
        <v>579</v>
      </c>
      <c r="H31" s="16" t="s">
        <v>154</v>
      </c>
      <c r="I31" s="18" t="s">
        <v>252</v>
      </c>
      <c r="J31" s="16" t="s">
        <v>413</v>
      </c>
      <c r="K31" s="17"/>
      <c r="L31" s="16" t="s">
        <v>99</v>
      </c>
      <c r="M31" s="16" t="s">
        <v>123</v>
      </c>
      <c r="N31" s="16" t="s">
        <v>124</v>
      </c>
      <c r="O31" s="17"/>
      <c r="P31" s="16" t="s">
        <v>154</v>
      </c>
      <c r="Q31" s="16" t="s">
        <v>252</v>
      </c>
      <c r="R31" s="18" t="s">
        <v>413</v>
      </c>
      <c r="S31" s="17"/>
      <c r="T31" s="32" t="str">
        <f>"740,0"</f>
        <v>740,0</v>
      </c>
      <c r="U31" s="17" t="str">
        <f>"451,1040"</f>
        <v>451,1040</v>
      </c>
      <c r="V31" s="15" t="s">
        <v>59</v>
      </c>
    </row>
    <row r="32" spans="1:22" x14ac:dyDescent="0.2">
      <c r="A32" s="17" t="s">
        <v>276</v>
      </c>
      <c r="B32" s="15" t="s">
        <v>682</v>
      </c>
      <c r="C32" s="15" t="s">
        <v>683</v>
      </c>
      <c r="D32" s="15" t="s">
        <v>684</v>
      </c>
      <c r="E32" s="15" t="str">
        <f>"0,6091"</f>
        <v>0,6091</v>
      </c>
      <c r="F32" s="15" t="s">
        <v>20</v>
      </c>
      <c r="G32" s="15" t="s">
        <v>69</v>
      </c>
      <c r="H32" s="16" t="s">
        <v>413</v>
      </c>
      <c r="I32" s="18" t="s">
        <v>414</v>
      </c>
      <c r="J32" s="18" t="s">
        <v>414</v>
      </c>
      <c r="K32" s="17"/>
      <c r="L32" s="16" t="s">
        <v>136</v>
      </c>
      <c r="M32" s="18" t="s">
        <v>98</v>
      </c>
      <c r="N32" s="18" t="s">
        <v>98</v>
      </c>
      <c r="O32" s="17"/>
      <c r="P32" s="18" t="s">
        <v>413</v>
      </c>
      <c r="Q32" s="16" t="s">
        <v>413</v>
      </c>
      <c r="R32" s="18" t="s">
        <v>259</v>
      </c>
      <c r="S32" s="17"/>
      <c r="T32" s="32" t="str">
        <f>"710,0"</f>
        <v>710,0</v>
      </c>
      <c r="U32" s="17" t="str">
        <f>"432,4610"</f>
        <v>432,4610</v>
      </c>
      <c r="V32" s="15" t="s">
        <v>59</v>
      </c>
    </row>
    <row r="33" spans="1:22" x14ac:dyDescent="0.2">
      <c r="A33" s="17" t="s">
        <v>281</v>
      </c>
      <c r="B33" s="15" t="s">
        <v>685</v>
      </c>
      <c r="C33" s="15" t="s">
        <v>686</v>
      </c>
      <c r="D33" s="15" t="s">
        <v>676</v>
      </c>
      <c r="E33" s="15" t="str">
        <f>"0,6158"</f>
        <v>0,6158</v>
      </c>
      <c r="F33" s="15" t="s">
        <v>20</v>
      </c>
      <c r="G33" s="15" t="s">
        <v>69</v>
      </c>
      <c r="H33" s="16" t="s">
        <v>174</v>
      </c>
      <c r="I33" s="16" t="s">
        <v>251</v>
      </c>
      <c r="J33" s="16" t="s">
        <v>252</v>
      </c>
      <c r="K33" s="17"/>
      <c r="L33" s="16" t="s">
        <v>99</v>
      </c>
      <c r="M33" s="16" t="s">
        <v>123</v>
      </c>
      <c r="N33" s="18" t="s">
        <v>166</v>
      </c>
      <c r="O33" s="17"/>
      <c r="P33" s="18" t="s">
        <v>250</v>
      </c>
      <c r="Q33" s="16" t="s">
        <v>146</v>
      </c>
      <c r="R33" s="16" t="s">
        <v>175</v>
      </c>
      <c r="S33" s="17"/>
      <c r="T33" s="32" t="str">
        <f>"705,0"</f>
        <v>705,0</v>
      </c>
      <c r="U33" s="17" t="str">
        <f>"434,1390"</f>
        <v>434,1390</v>
      </c>
      <c r="V33" s="15" t="s">
        <v>687</v>
      </c>
    </row>
    <row r="34" spans="1:22" x14ac:dyDescent="0.2">
      <c r="A34" s="17" t="s">
        <v>186</v>
      </c>
      <c r="B34" s="15" t="s">
        <v>688</v>
      </c>
      <c r="C34" s="15" t="s">
        <v>689</v>
      </c>
      <c r="D34" s="15" t="s">
        <v>690</v>
      </c>
      <c r="E34" s="15" t="str">
        <f>"0,6134"</f>
        <v>0,6134</v>
      </c>
      <c r="F34" s="15" t="s">
        <v>20</v>
      </c>
      <c r="G34" s="15" t="s">
        <v>579</v>
      </c>
      <c r="H34" s="18" t="s">
        <v>251</v>
      </c>
      <c r="I34" s="18" t="s">
        <v>251</v>
      </c>
      <c r="J34" s="18" t="s">
        <v>251</v>
      </c>
      <c r="K34" s="17"/>
      <c r="L34" s="17"/>
      <c r="M34" s="18"/>
      <c r="N34" s="17"/>
      <c r="O34" s="17"/>
      <c r="P34" s="18"/>
      <c r="Q34" s="18"/>
      <c r="R34" s="17"/>
      <c r="S34" s="17"/>
      <c r="T34" s="32">
        <v>0</v>
      </c>
      <c r="U34" s="17" t="str">
        <f>"0,0000"</f>
        <v>0,0000</v>
      </c>
      <c r="V34" s="15" t="s">
        <v>59</v>
      </c>
    </row>
    <row r="35" spans="1:22" x14ac:dyDescent="0.2">
      <c r="A35" s="21" t="s">
        <v>16</v>
      </c>
      <c r="B35" s="19" t="s">
        <v>691</v>
      </c>
      <c r="C35" s="19" t="s">
        <v>692</v>
      </c>
      <c r="D35" s="19" t="s">
        <v>693</v>
      </c>
      <c r="E35" s="19" t="str">
        <f>"0,6129"</f>
        <v>0,6129</v>
      </c>
      <c r="F35" s="19" t="s">
        <v>20</v>
      </c>
      <c r="G35" s="19" t="s">
        <v>515</v>
      </c>
      <c r="H35" s="20" t="s">
        <v>251</v>
      </c>
      <c r="I35" s="22" t="s">
        <v>301</v>
      </c>
      <c r="J35" s="20" t="s">
        <v>301</v>
      </c>
      <c r="K35" s="21"/>
      <c r="L35" s="20" t="s">
        <v>99</v>
      </c>
      <c r="M35" s="20" t="s">
        <v>123</v>
      </c>
      <c r="N35" s="20" t="s">
        <v>166</v>
      </c>
      <c r="O35" s="21"/>
      <c r="P35" s="20" t="s">
        <v>101</v>
      </c>
      <c r="Q35" s="20" t="s">
        <v>250</v>
      </c>
      <c r="R35" s="20" t="s">
        <v>251</v>
      </c>
      <c r="S35" s="21"/>
      <c r="T35" s="29" t="str">
        <f>"720,0"</f>
        <v>720,0</v>
      </c>
      <c r="U35" s="21" t="str">
        <f>"467,7653"</f>
        <v>467,7653</v>
      </c>
      <c r="V35" s="19" t="s">
        <v>557</v>
      </c>
    </row>
    <row r="36" spans="1:22" x14ac:dyDescent="0.2">
      <c r="B36" s="5" t="s">
        <v>38</v>
      </c>
    </row>
    <row r="37" spans="1:22" ht="15" x14ac:dyDescent="0.2">
      <c r="A37" s="81" t="s">
        <v>323</v>
      </c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2" x14ac:dyDescent="0.2">
      <c r="A38" s="14" t="s">
        <v>16</v>
      </c>
      <c r="B38" s="11" t="s">
        <v>694</v>
      </c>
      <c r="C38" s="11" t="s">
        <v>695</v>
      </c>
      <c r="D38" s="11" t="s">
        <v>696</v>
      </c>
      <c r="E38" s="11" t="str">
        <f>"0,6060"</f>
        <v>0,6060</v>
      </c>
      <c r="F38" s="11" t="s">
        <v>20</v>
      </c>
      <c r="G38" s="11" t="s">
        <v>697</v>
      </c>
      <c r="H38" s="13" t="s">
        <v>252</v>
      </c>
      <c r="I38" s="12" t="s">
        <v>302</v>
      </c>
      <c r="J38" s="12" t="s">
        <v>302</v>
      </c>
      <c r="K38" s="14"/>
      <c r="L38" s="13" t="s">
        <v>137</v>
      </c>
      <c r="M38" s="13" t="s">
        <v>166</v>
      </c>
      <c r="N38" s="12" t="s">
        <v>124</v>
      </c>
      <c r="O38" s="14"/>
      <c r="P38" s="13" t="s">
        <v>413</v>
      </c>
      <c r="Q38" s="12" t="s">
        <v>414</v>
      </c>
      <c r="R38" s="12" t="s">
        <v>414</v>
      </c>
      <c r="S38" s="14"/>
      <c r="T38" s="28" t="str">
        <f>"735,0"</f>
        <v>735,0</v>
      </c>
      <c r="U38" s="14" t="str">
        <f>"445,4100"</f>
        <v>445,4100</v>
      </c>
      <c r="V38" s="11" t="s">
        <v>59</v>
      </c>
    </row>
    <row r="39" spans="1:22" x14ac:dyDescent="0.2">
      <c r="A39" s="17" t="s">
        <v>16</v>
      </c>
      <c r="B39" s="15" t="s">
        <v>698</v>
      </c>
      <c r="C39" s="15" t="s">
        <v>699</v>
      </c>
      <c r="D39" s="15" t="s">
        <v>700</v>
      </c>
      <c r="E39" s="15" t="str">
        <f>"0,5923"</f>
        <v>0,5923</v>
      </c>
      <c r="F39" s="15" t="s">
        <v>20</v>
      </c>
      <c r="G39" s="15" t="s">
        <v>701</v>
      </c>
      <c r="H39" s="16" t="s">
        <v>702</v>
      </c>
      <c r="I39" s="16" t="s">
        <v>703</v>
      </c>
      <c r="J39" s="18" t="s">
        <v>414</v>
      </c>
      <c r="K39" s="17"/>
      <c r="L39" s="16" t="s">
        <v>144</v>
      </c>
      <c r="M39" s="18" t="s">
        <v>173</v>
      </c>
      <c r="N39" s="17"/>
      <c r="O39" s="17"/>
      <c r="P39" s="16" t="s">
        <v>301</v>
      </c>
      <c r="Q39" s="16" t="s">
        <v>259</v>
      </c>
      <c r="R39" s="18" t="s">
        <v>414</v>
      </c>
      <c r="S39" s="17"/>
      <c r="T39" s="32" t="str">
        <f>"792,5"</f>
        <v>792,5</v>
      </c>
      <c r="U39" s="17" t="str">
        <f>"469,3977"</f>
        <v>469,3977</v>
      </c>
      <c r="V39" s="15" t="s">
        <v>704</v>
      </c>
    </row>
    <row r="40" spans="1:22" x14ac:dyDescent="0.2">
      <c r="A40" s="17" t="s">
        <v>60</v>
      </c>
      <c r="B40" s="15" t="s">
        <v>705</v>
      </c>
      <c r="C40" s="15" t="s">
        <v>706</v>
      </c>
      <c r="D40" s="15" t="s">
        <v>707</v>
      </c>
      <c r="E40" s="15" t="str">
        <f>"0,5903"</f>
        <v>0,5903</v>
      </c>
      <c r="F40" s="15" t="s">
        <v>552</v>
      </c>
      <c r="G40" s="15" t="s">
        <v>708</v>
      </c>
      <c r="H40" s="16" t="s">
        <v>154</v>
      </c>
      <c r="I40" s="18" t="s">
        <v>251</v>
      </c>
      <c r="J40" s="16" t="s">
        <v>251</v>
      </c>
      <c r="K40" s="17"/>
      <c r="L40" s="16" t="s">
        <v>98</v>
      </c>
      <c r="M40" s="18" t="s">
        <v>99</v>
      </c>
      <c r="N40" s="18" t="s">
        <v>99</v>
      </c>
      <c r="O40" s="17"/>
      <c r="P40" s="16" t="s">
        <v>251</v>
      </c>
      <c r="Q40" s="16" t="s">
        <v>413</v>
      </c>
      <c r="R40" s="18" t="s">
        <v>259</v>
      </c>
      <c r="S40" s="17"/>
      <c r="T40" s="32" t="str">
        <f>"700,0"</f>
        <v>700,0</v>
      </c>
      <c r="U40" s="17" t="str">
        <f>"413,2100"</f>
        <v>413,2100</v>
      </c>
      <c r="V40" s="15" t="s">
        <v>554</v>
      </c>
    </row>
    <row r="41" spans="1:22" x14ac:dyDescent="0.2">
      <c r="A41" s="17" t="s">
        <v>65</v>
      </c>
      <c r="B41" s="15" t="s">
        <v>330</v>
      </c>
      <c r="C41" s="15" t="s">
        <v>597</v>
      </c>
      <c r="D41" s="15" t="s">
        <v>332</v>
      </c>
      <c r="E41" s="15" t="str">
        <f>"0,5910"</f>
        <v>0,5910</v>
      </c>
      <c r="F41" s="15" t="s">
        <v>20</v>
      </c>
      <c r="G41" s="15" t="s">
        <v>279</v>
      </c>
      <c r="H41" s="18" t="s">
        <v>153</v>
      </c>
      <c r="I41" s="16" t="s">
        <v>153</v>
      </c>
      <c r="J41" s="17"/>
      <c r="K41" s="17"/>
      <c r="L41" s="16" t="s">
        <v>118</v>
      </c>
      <c r="M41" s="16" t="s">
        <v>136</v>
      </c>
      <c r="N41" s="16" t="s">
        <v>98</v>
      </c>
      <c r="O41" s="17"/>
      <c r="P41" s="16" t="s">
        <v>143</v>
      </c>
      <c r="Q41" s="16" t="s">
        <v>144</v>
      </c>
      <c r="R41" s="18" t="s">
        <v>101</v>
      </c>
      <c r="S41" s="17"/>
      <c r="T41" s="32">
        <v>600</v>
      </c>
      <c r="U41" s="62" t="e">
        <f>T41*E41</f>
        <v>#VALUE!</v>
      </c>
      <c r="V41" s="15" t="s">
        <v>59</v>
      </c>
    </row>
    <row r="42" spans="1:22" x14ac:dyDescent="0.2">
      <c r="A42" s="21" t="s">
        <v>16</v>
      </c>
      <c r="B42" s="19" t="s">
        <v>330</v>
      </c>
      <c r="C42" s="19" t="s">
        <v>331</v>
      </c>
      <c r="D42" s="19" t="s">
        <v>332</v>
      </c>
      <c r="E42" s="19" t="str">
        <f>"0,5910"</f>
        <v>0,5910</v>
      </c>
      <c r="F42" s="19" t="s">
        <v>20</v>
      </c>
      <c r="G42" s="19" t="s">
        <v>279</v>
      </c>
      <c r="H42" s="22" t="s">
        <v>153</v>
      </c>
      <c r="I42" s="20" t="s">
        <v>153</v>
      </c>
      <c r="J42" s="21"/>
      <c r="K42" s="21"/>
      <c r="L42" s="20" t="s">
        <v>118</v>
      </c>
      <c r="M42" s="20" t="s">
        <v>136</v>
      </c>
      <c r="N42" s="20" t="s">
        <v>98</v>
      </c>
      <c r="O42" s="21"/>
      <c r="P42" s="20" t="s">
        <v>143</v>
      </c>
      <c r="Q42" s="20" t="s">
        <v>144</v>
      </c>
      <c r="R42" s="22" t="s">
        <v>101</v>
      </c>
      <c r="S42" s="21"/>
      <c r="T42" s="29">
        <v>600</v>
      </c>
      <c r="U42" s="63" t="e">
        <f>T42*E42</f>
        <v>#VALUE!</v>
      </c>
      <c r="V42" s="19" t="s">
        <v>59</v>
      </c>
    </row>
    <row r="43" spans="1:22" x14ac:dyDescent="0.2">
      <c r="B43" s="5" t="s">
        <v>38</v>
      </c>
    </row>
    <row r="44" spans="1:22" ht="15" x14ac:dyDescent="0.2">
      <c r="A44" s="81" t="s">
        <v>333</v>
      </c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2" x14ac:dyDescent="0.2">
      <c r="A45" s="14" t="s">
        <v>16</v>
      </c>
      <c r="B45" s="11" t="s">
        <v>709</v>
      </c>
      <c r="C45" s="11" t="s">
        <v>710</v>
      </c>
      <c r="D45" s="11" t="s">
        <v>711</v>
      </c>
      <c r="E45" s="11" t="str">
        <f>"0,5712"</f>
        <v>0,5712</v>
      </c>
      <c r="F45" s="11" t="s">
        <v>96</v>
      </c>
      <c r="G45" s="11" t="s">
        <v>666</v>
      </c>
      <c r="H45" s="12" t="s">
        <v>712</v>
      </c>
      <c r="I45" s="13" t="s">
        <v>712</v>
      </c>
      <c r="J45" s="13" t="s">
        <v>713</v>
      </c>
      <c r="K45" s="14"/>
      <c r="L45" s="12" t="s">
        <v>174</v>
      </c>
      <c r="M45" s="13" t="s">
        <v>174</v>
      </c>
      <c r="N45" s="12" t="s">
        <v>154</v>
      </c>
      <c r="O45" s="14"/>
      <c r="P45" s="13" t="s">
        <v>499</v>
      </c>
      <c r="Q45" s="12" t="s">
        <v>714</v>
      </c>
      <c r="R45" s="12" t="s">
        <v>714</v>
      </c>
      <c r="S45" s="14"/>
      <c r="T45" s="28" t="str">
        <f>"960,0"</f>
        <v>960,0</v>
      </c>
      <c r="U45" s="14" t="str">
        <f>"548,3520"</f>
        <v>548,3520</v>
      </c>
      <c r="V45" s="11" t="s">
        <v>423</v>
      </c>
    </row>
    <row r="46" spans="1:22" x14ac:dyDescent="0.2">
      <c r="A46" s="17" t="s">
        <v>60</v>
      </c>
      <c r="B46" s="15" t="s">
        <v>715</v>
      </c>
      <c r="C46" s="15" t="s">
        <v>716</v>
      </c>
      <c r="D46" s="15" t="s">
        <v>717</v>
      </c>
      <c r="E46" s="15" t="str">
        <f>"0,5855"</f>
        <v>0,5855</v>
      </c>
      <c r="F46" s="15" t="s">
        <v>20</v>
      </c>
      <c r="G46" s="15" t="s">
        <v>718</v>
      </c>
      <c r="H46" s="18" t="s">
        <v>175</v>
      </c>
      <c r="I46" s="16" t="s">
        <v>155</v>
      </c>
      <c r="J46" s="18" t="s">
        <v>301</v>
      </c>
      <c r="K46" s="17"/>
      <c r="L46" s="16" t="s">
        <v>99</v>
      </c>
      <c r="M46" s="16" t="s">
        <v>124</v>
      </c>
      <c r="N46" s="16" t="s">
        <v>143</v>
      </c>
      <c r="O46" s="17"/>
      <c r="P46" s="16" t="s">
        <v>252</v>
      </c>
      <c r="Q46" s="18" t="s">
        <v>302</v>
      </c>
      <c r="R46" s="18" t="s">
        <v>302</v>
      </c>
      <c r="S46" s="17"/>
      <c r="T46" s="32" t="str">
        <f>"735,0"</f>
        <v>735,0</v>
      </c>
      <c r="U46" s="17" t="str">
        <f>"430,3425"</f>
        <v>430,3425</v>
      </c>
      <c r="V46" s="15" t="s">
        <v>719</v>
      </c>
    </row>
    <row r="47" spans="1:22" x14ac:dyDescent="0.2">
      <c r="A47" s="17" t="s">
        <v>186</v>
      </c>
      <c r="B47" s="15" t="s">
        <v>720</v>
      </c>
      <c r="C47" s="15" t="s">
        <v>721</v>
      </c>
      <c r="D47" s="15" t="s">
        <v>722</v>
      </c>
      <c r="E47" s="15" t="str">
        <f>"0,5750"</f>
        <v>0,5750</v>
      </c>
      <c r="F47" s="15" t="s">
        <v>20</v>
      </c>
      <c r="G47" s="15" t="s">
        <v>69</v>
      </c>
      <c r="H47" s="18" t="s">
        <v>146</v>
      </c>
      <c r="I47" s="18" t="s">
        <v>483</v>
      </c>
      <c r="J47" s="18" t="s">
        <v>510</v>
      </c>
      <c r="K47" s="17"/>
      <c r="L47" s="18"/>
      <c r="M47" s="17"/>
      <c r="N47" s="17"/>
      <c r="O47" s="17"/>
      <c r="P47" s="18"/>
      <c r="Q47" s="17"/>
      <c r="R47" s="17"/>
      <c r="S47" s="17"/>
      <c r="T47" s="32">
        <v>0</v>
      </c>
      <c r="U47" s="17" t="str">
        <f>"0,0000"</f>
        <v>0,0000</v>
      </c>
      <c r="V47" s="15" t="s">
        <v>723</v>
      </c>
    </row>
    <row r="48" spans="1:22" x14ac:dyDescent="0.2">
      <c r="A48" s="21" t="s">
        <v>16</v>
      </c>
      <c r="B48" s="19" t="s">
        <v>724</v>
      </c>
      <c r="C48" s="19" t="s">
        <v>725</v>
      </c>
      <c r="D48" s="19" t="s">
        <v>726</v>
      </c>
      <c r="E48" s="19" t="str">
        <f>"0,5738"</f>
        <v>0,5738</v>
      </c>
      <c r="F48" s="19" t="s">
        <v>20</v>
      </c>
      <c r="G48" s="19" t="s">
        <v>727</v>
      </c>
      <c r="H48" s="22" t="s">
        <v>251</v>
      </c>
      <c r="I48" s="22" t="s">
        <v>251</v>
      </c>
      <c r="J48" s="20" t="s">
        <v>251</v>
      </c>
      <c r="K48" s="21"/>
      <c r="L48" s="22" t="s">
        <v>109</v>
      </c>
      <c r="M48" s="20" t="s">
        <v>98</v>
      </c>
      <c r="N48" s="22" t="s">
        <v>110</v>
      </c>
      <c r="O48" s="21"/>
      <c r="P48" s="20" t="s">
        <v>251</v>
      </c>
      <c r="Q48" s="20" t="s">
        <v>252</v>
      </c>
      <c r="R48" s="20" t="s">
        <v>413</v>
      </c>
      <c r="S48" s="21"/>
      <c r="T48" s="29" t="str">
        <f>"700,0"</f>
        <v>700,0</v>
      </c>
      <c r="U48" s="21" t="str">
        <f>"432,9895"</f>
        <v>432,9895</v>
      </c>
      <c r="V48" s="19" t="s">
        <v>59</v>
      </c>
    </row>
    <row r="49" spans="1:22" x14ac:dyDescent="0.2">
      <c r="B49" s="5" t="s">
        <v>38</v>
      </c>
    </row>
    <row r="50" spans="1:22" ht="15" x14ac:dyDescent="0.2">
      <c r="A50" s="81" t="s">
        <v>503</v>
      </c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2" x14ac:dyDescent="0.2">
      <c r="A51" s="10" t="s">
        <v>16</v>
      </c>
      <c r="B51" s="7" t="s">
        <v>728</v>
      </c>
      <c r="C51" s="7" t="s">
        <v>729</v>
      </c>
      <c r="D51" s="7" t="s">
        <v>730</v>
      </c>
      <c r="E51" s="7" t="str">
        <f>"0,5664"</f>
        <v>0,5664</v>
      </c>
      <c r="F51" s="7" t="s">
        <v>20</v>
      </c>
      <c r="G51" s="7" t="s">
        <v>615</v>
      </c>
      <c r="H51" s="9" t="s">
        <v>413</v>
      </c>
      <c r="I51" s="9" t="s">
        <v>413</v>
      </c>
      <c r="J51" s="8" t="s">
        <v>413</v>
      </c>
      <c r="K51" s="10"/>
      <c r="L51" s="8" t="s">
        <v>124</v>
      </c>
      <c r="M51" s="8" t="s">
        <v>143</v>
      </c>
      <c r="N51" s="8" t="s">
        <v>144</v>
      </c>
      <c r="O51" s="10"/>
      <c r="P51" s="8" t="s">
        <v>413</v>
      </c>
      <c r="Q51" s="8" t="s">
        <v>414</v>
      </c>
      <c r="R51" s="9" t="s">
        <v>449</v>
      </c>
      <c r="S51" s="10"/>
      <c r="T51" s="31" t="str">
        <f>"790,0"</f>
        <v>790,0</v>
      </c>
      <c r="U51" s="10" t="str">
        <f>"447,4560"</f>
        <v>447,4560</v>
      </c>
      <c r="V51" s="7" t="s">
        <v>616</v>
      </c>
    </row>
    <row r="52" spans="1:22" x14ac:dyDescent="0.2">
      <c r="B52" s="5" t="s">
        <v>38</v>
      </c>
    </row>
    <row r="53" spans="1:22" ht="15" x14ac:dyDescent="0.2">
      <c r="A53" s="81" t="s">
        <v>511</v>
      </c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2" x14ac:dyDescent="0.2">
      <c r="A54" s="14" t="s">
        <v>16</v>
      </c>
      <c r="B54" s="11" t="s">
        <v>731</v>
      </c>
      <c r="C54" s="11" t="s">
        <v>732</v>
      </c>
      <c r="D54" s="11" t="s">
        <v>733</v>
      </c>
      <c r="E54" s="11" t="str">
        <f>"0,5479"</f>
        <v>0,5479</v>
      </c>
      <c r="F54" s="11" t="s">
        <v>20</v>
      </c>
      <c r="G54" s="11" t="s">
        <v>579</v>
      </c>
      <c r="H54" s="12" t="s">
        <v>734</v>
      </c>
      <c r="I54" s="13" t="s">
        <v>735</v>
      </c>
      <c r="J54" s="12" t="s">
        <v>736</v>
      </c>
      <c r="K54" s="14"/>
      <c r="L54" s="13" t="s">
        <v>153</v>
      </c>
      <c r="M54" s="12" t="s">
        <v>174</v>
      </c>
      <c r="N54" s="13" t="s">
        <v>174</v>
      </c>
      <c r="O54" s="14"/>
      <c r="P54" s="13" t="s">
        <v>516</v>
      </c>
      <c r="Q54" s="13" t="s">
        <v>737</v>
      </c>
      <c r="R54" s="12" t="s">
        <v>738</v>
      </c>
      <c r="S54" s="14"/>
      <c r="T54" s="28" t="str">
        <f>"1080,0"</f>
        <v>1080,0</v>
      </c>
      <c r="U54" s="14" t="str">
        <f>"591,7320"</f>
        <v>591,7320</v>
      </c>
      <c r="V54" s="11" t="s">
        <v>59</v>
      </c>
    </row>
    <row r="55" spans="1:22" x14ac:dyDescent="0.2">
      <c r="A55" s="21" t="s">
        <v>60</v>
      </c>
      <c r="B55" s="19" t="s">
        <v>739</v>
      </c>
      <c r="C55" s="19" t="s">
        <v>740</v>
      </c>
      <c r="D55" s="19" t="s">
        <v>741</v>
      </c>
      <c r="E55" s="19" t="str">
        <f>"0,5555"</f>
        <v>0,5555</v>
      </c>
      <c r="F55" s="19" t="s">
        <v>20</v>
      </c>
      <c r="G55" s="19" t="s">
        <v>69</v>
      </c>
      <c r="H55" s="20" t="s">
        <v>518</v>
      </c>
      <c r="I55" s="20" t="s">
        <v>742</v>
      </c>
      <c r="J55" s="22" t="s">
        <v>743</v>
      </c>
      <c r="K55" s="21"/>
      <c r="L55" s="20" t="s">
        <v>160</v>
      </c>
      <c r="M55" s="22" t="s">
        <v>100</v>
      </c>
      <c r="N55" s="20" t="s">
        <v>100</v>
      </c>
      <c r="O55" s="21"/>
      <c r="P55" s="20" t="s">
        <v>744</v>
      </c>
      <c r="Q55" s="22" t="s">
        <v>712</v>
      </c>
      <c r="R55" s="22" t="s">
        <v>712</v>
      </c>
      <c r="S55" s="21"/>
      <c r="T55" s="29" t="str">
        <f>"990,0"</f>
        <v>990,0</v>
      </c>
      <c r="U55" s="21" t="str">
        <f>"549,9450"</f>
        <v>549,9450</v>
      </c>
      <c r="V55" s="19" t="s">
        <v>59</v>
      </c>
    </row>
    <row r="56" spans="1:22" x14ac:dyDescent="0.2">
      <c r="B56" s="5" t="s">
        <v>38</v>
      </c>
    </row>
    <row r="57" spans="1:22" ht="15" x14ac:dyDescent="0.2">
      <c r="B57" s="5" t="s">
        <v>38</v>
      </c>
      <c r="F57" s="23"/>
    </row>
    <row r="58" spans="1:22" x14ac:dyDescent="0.2">
      <c r="B58" s="5" t="s">
        <v>38</v>
      </c>
    </row>
    <row r="59" spans="1:22" ht="18" x14ac:dyDescent="0.2">
      <c r="B59" s="24" t="s">
        <v>340</v>
      </c>
      <c r="C59" s="24"/>
      <c r="G59" s="3"/>
    </row>
    <row r="60" spans="1:22" ht="15" x14ac:dyDescent="0.2">
      <c r="B60" s="73" t="s">
        <v>341</v>
      </c>
      <c r="C60" s="73"/>
      <c r="G60" s="3"/>
    </row>
    <row r="61" spans="1:22" ht="14.25" x14ac:dyDescent="0.2">
      <c r="B61" s="25"/>
      <c r="C61" s="25" t="s">
        <v>358</v>
      </c>
      <c r="G61" s="3"/>
    </row>
    <row r="62" spans="1:22" ht="15" x14ac:dyDescent="0.2">
      <c r="B62" s="4" t="s">
        <v>343</v>
      </c>
      <c r="C62" s="4" t="s">
        <v>344</v>
      </c>
      <c r="D62" s="4" t="s">
        <v>345</v>
      </c>
      <c r="E62" s="4" t="s">
        <v>346</v>
      </c>
      <c r="F62" s="4" t="s">
        <v>347</v>
      </c>
      <c r="G62" s="3"/>
    </row>
    <row r="63" spans="1:22" x14ac:dyDescent="0.2">
      <c r="B63" s="5" t="s">
        <v>731</v>
      </c>
      <c r="C63" s="5" t="s">
        <v>358</v>
      </c>
      <c r="D63" s="6" t="s">
        <v>527</v>
      </c>
      <c r="E63" s="6" t="s">
        <v>745</v>
      </c>
      <c r="F63" s="6" t="s">
        <v>746</v>
      </c>
      <c r="G63" s="3"/>
    </row>
    <row r="64" spans="1:22" x14ac:dyDescent="0.2">
      <c r="B64" s="5" t="s">
        <v>739</v>
      </c>
      <c r="C64" s="5" t="s">
        <v>358</v>
      </c>
      <c r="D64" s="6" t="s">
        <v>527</v>
      </c>
      <c r="E64" s="6" t="s">
        <v>747</v>
      </c>
      <c r="F64" s="6" t="s">
        <v>748</v>
      </c>
      <c r="G64" s="3"/>
    </row>
    <row r="65" spans="2:7" x14ac:dyDescent="0.2">
      <c r="B65" s="5" t="s">
        <v>709</v>
      </c>
      <c r="C65" s="5" t="s">
        <v>358</v>
      </c>
      <c r="D65" s="6" t="s">
        <v>749</v>
      </c>
      <c r="E65" s="6" t="s">
        <v>750</v>
      </c>
      <c r="F65" s="6" t="s">
        <v>751</v>
      </c>
      <c r="G65" s="3"/>
    </row>
    <row r="66" spans="2:7" x14ac:dyDescent="0.2">
      <c r="B66" s="5" t="s">
        <v>38</v>
      </c>
    </row>
  </sheetData>
  <mergeCells count="23">
    <mergeCell ref="A37:U37"/>
    <mergeCell ref="A44:U44"/>
    <mergeCell ref="A50:U50"/>
    <mergeCell ref="A53:U53"/>
    <mergeCell ref="B3:B4"/>
    <mergeCell ref="A5:U5"/>
    <mergeCell ref="A8:U8"/>
    <mergeCell ref="A11:U11"/>
    <mergeCell ref="A17:U17"/>
    <mergeCell ref="A26:U26"/>
    <mergeCell ref="E3:E4"/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55"/>
  <sheetViews>
    <sheetView workbookViewId="0">
      <selection sqref="A1:R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0.42578125" style="5" bestFit="1" customWidth="1"/>
    <col min="8" max="10" width="5.42578125" style="6" bestFit="1" customWidth="1"/>
    <col min="11" max="11" width="4.85546875" style="6" bestFit="1" customWidth="1"/>
    <col min="12" max="15" width="5.42578125" style="6" bestFit="1" customWidth="1"/>
    <col min="16" max="16" width="7.85546875" style="6" bestFit="1" customWidth="1"/>
    <col min="17" max="17" width="8.42578125" style="6" bestFit="1" customWidth="1"/>
    <col min="18" max="18" width="32.42578125" style="5" bestFit="1" customWidth="1"/>
    <col min="19" max="16384" width="9.140625" style="3"/>
  </cols>
  <sheetData>
    <row r="1" spans="1:18" s="2" customFormat="1" ht="29.1" customHeight="1" x14ac:dyDescent="0.2">
      <c r="A1" s="83" t="s">
        <v>752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4" t="s">
        <v>10</v>
      </c>
      <c r="M3" s="94"/>
      <c r="N3" s="94"/>
      <c r="O3" s="94"/>
      <c r="P3" s="94" t="s">
        <v>11</v>
      </c>
      <c r="Q3" s="94" t="s">
        <v>12</v>
      </c>
      <c r="R3" s="77" t="s">
        <v>13</v>
      </c>
    </row>
    <row r="4" spans="1:18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74">
        <v>1</v>
      </c>
      <c r="M4" s="74">
        <v>2</v>
      </c>
      <c r="N4" s="74">
        <v>3</v>
      </c>
      <c r="O4" s="74" t="s">
        <v>14</v>
      </c>
      <c r="P4" s="93"/>
      <c r="Q4" s="93"/>
      <c r="R4" s="78"/>
    </row>
    <row r="5" spans="1:18" ht="15" x14ac:dyDescent="0.2">
      <c r="A5" s="79" t="s">
        <v>753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8" x14ac:dyDescent="0.2">
      <c r="A6" s="10" t="s">
        <v>16</v>
      </c>
      <c r="B6" s="7" t="s">
        <v>754</v>
      </c>
      <c r="C6" s="7" t="s">
        <v>755</v>
      </c>
      <c r="D6" s="7" t="s">
        <v>756</v>
      </c>
      <c r="E6" s="7" t="str">
        <f>"1,1849"</f>
        <v>1,1849</v>
      </c>
      <c r="F6" s="7" t="s">
        <v>20</v>
      </c>
      <c r="G6" s="7" t="s">
        <v>217</v>
      </c>
      <c r="H6" s="8" t="s">
        <v>44</v>
      </c>
      <c r="I6" s="9" t="s">
        <v>70</v>
      </c>
      <c r="J6" s="9" t="s">
        <v>70</v>
      </c>
      <c r="K6" s="10"/>
      <c r="L6" s="8" t="s">
        <v>88</v>
      </c>
      <c r="M6" s="9" t="s">
        <v>117</v>
      </c>
      <c r="N6" s="9" t="s">
        <v>117</v>
      </c>
      <c r="O6" s="10"/>
      <c r="P6" s="10" t="str">
        <f>"167,5"</f>
        <v>167,5</v>
      </c>
      <c r="Q6" s="10" t="str">
        <f>"198,4708"</f>
        <v>198,4708</v>
      </c>
      <c r="R6" s="7" t="s">
        <v>757</v>
      </c>
    </row>
    <row r="7" spans="1:18" x14ac:dyDescent="0.2">
      <c r="B7" s="5" t="s">
        <v>38</v>
      </c>
    </row>
    <row r="8" spans="1:18" ht="15" x14ac:dyDescent="0.2">
      <c r="A8" s="81" t="s">
        <v>48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8" x14ac:dyDescent="0.2">
      <c r="A9" s="10" t="s">
        <v>16</v>
      </c>
      <c r="B9" s="7" t="s">
        <v>758</v>
      </c>
      <c r="C9" s="7" t="s">
        <v>759</v>
      </c>
      <c r="D9" s="7" t="s">
        <v>760</v>
      </c>
      <c r="E9" s="7" t="str">
        <f>"0,8919"</f>
        <v>0,8919</v>
      </c>
      <c r="F9" s="7" t="s">
        <v>20</v>
      </c>
      <c r="G9" s="7" t="s">
        <v>761</v>
      </c>
      <c r="H9" s="8" t="s">
        <v>22</v>
      </c>
      <c r="I9" s="9" t="s">
        <v>379</v>
      </c>
      <c r="J9" s="9" t="s">
        <v>379</v>
      </c>
      <c r="K9" s="10"/>
      <c r="L9" s="8" t="s">
        <v>90</v>
      </c>
      <c r="M9" s="8" t="s">
        <v>83</v>
      </c>
      <c r="N9" s="9" t="s">
        <v>136</v>
      </c>
      <c r="O9" s="10"/>
      <c r="P9" s="10" t="str">
        <f>"202,5"</f>
        <v>202,5</v>
      </c>
      <c r="Q9" s="10" t="str">
        <f>"180,6098"</f>
        <v>180,6098</v>
      </c>
      <c r="R9" s="7" t="s">
        <v>762</v>
      </c>
    </row>
    <row r="10" spans="1:18" x14ac:dyDescent="0.2">
      <c r="B10" s="5" t="s">
        <v>38</v>
      </c>
    </row>
    <row r="11" spans="1:18" ht="15" x14ac:dyDescent="0.2">
      <c r="A11" s="81" t="s">
        <v>73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8" x14ac:dyDescent="0.2">
      <c r="A12" s="14" t="s">
        <v>16</v>
      </c>
      <c r="B12" s="11" t="s">
        <v>563</v>
      </c>
      <c r="C12" s="11" t="s">
        <v>564</v>
      </c>
      <c r="D12" s="11" t="s">
        <v>565</v>
      </c>
      <c r="E12" s="11" t="str">
        <f>"0,7785"</f>
        <v>0,7785</v>
      </c>
      <c r="F12" s="11" t="s">
        <v>190</v>
      </c>
      <c r="G12" s="11" t="s">
        <v>566</v>
      </c>
      <c r="H12" s="13" t="s">
        <v>24</v>
      </c>
      <c r="I12" s="12" t="s">
        <v>53</v>
      </c>
      <c r="J12" s="14"/>
      <c r="K12" s="14"/>
      <c r="L12" s="13" t="s">
        <v>125</v>
      </c>
      <c r="M12" s="13" t="s">
        <v>98</v>
      </c>
      <c r="N12" s="12" t="s">
        <v>99</v>
      </c>
      <c r="O12" s="14"/>
      <c r="P12" s="14" t="str">
        <f>"245,0"</f>
        <v>245,0</v>
      </c>
      <c r="Q12" s="14" t="str">
        <f>"190,7325"</f>
        <v>190,7325</v>
      </c>
      <c r="R12" s="11" t="s">
        <v>59</v>
      </c>
    </row>
    <row r="13" spans="1:18" x14ac:dyDescent="0.2">
      <c r="A13" s="21" t="s">
        <v>16</v>
      </c>
      <c r="B13" s="19" t="s">
        <v>763</v>
      </c>
      <c r="C13" s="19" t="s">
        <v>764</v>
      </c>
      <c r="D13" s="19" t="s">
        <v>765</v>
      </c>
      <c r="E13" s="19" t="str">
        <f>"0,7729"</f>
        <v>0,7729</v>
      </c>
      <c r="F13" s="19" t="s">
        <v>20</v>
      </c>
      <c r="G13" s="19" t="s">
        <v>69</v>
      </c>
      <c r="H13" s="20" t="s">
        <v>82</v>
      </c>
      <c r="I13" s="20" t="s">
        <v>88</v>
      </c>
      <c r="J13" s="20" t="s">
        <v>116</v>
      </c>
      <c r="K13" s="21"/>
      <c r="L13" s="20" t="s">
        <v>99</v>
      </c>
      <c r="M13" s="20" t="s">
        <v>124</v>
      </c>
      <c r="N13" s="20" t="s">
        <v>766</v>
      </c>
      <c r="O13" s="22" t="s">
        <v>143</v>
      </c>
      <c r="P13" s="21" t="str">
        <f>"315,5"</f>
        <v>315,5</v>
      </c>
      <c r="Q13" s="21" t="str">
        <f>"247,2638"</f>
        <v>247,2638</v>
      </c>
      <c r="R13" s="19" t="s">
        <v>59</v>
      </c>
    </row>
    <row r="14" spans="1:18" x14ac:dyDescent="0.2">
      <c r="B14" s="5" t="s">
        <v>38</v>
      </c>
    </row>
    <row r="15" spans="1:18" ht="15" x14ac:dyDescent="0.2">
      <c r="A15" s="81" t="s">
        <v>131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8" x14ac:dyDescent="0.2">
      <c r="A16" s="14" t="s">
        <v>16</v>
      </c>
      <c r="B16" s="11" t="s">
        <v>132</v>
      </c>
      <c r="C16" s="11" t="s">
        <v>133</v>
      </c>
      <c r="D16" s="11" t="s">
        <v>134</v>
      </c>
      <c r="E16" s="11" t="str">
        <f>"0,7293"</f>
        <v>0,7293</v>
      </c>
      <c r="F16" s="11" t="s">
        <v>20</v>
      </c>
      <c r="G16" s="11" t="s">
        <v>135</v>
      </c>
      <c r="H16" s="13" t="s">
        <v>24</v>
      </c>
      <c r="I16" s="13" t="s">
        <v>29</v>
      </c>
      <c r="J16" s="12" t="s">
        <v>37</v>
      </c>
      <c r="K16" s="14"/>
      <c r="L16" s="13" t="s">
        <v>136</v>
      </c>
      <c r="M16" s="13" t="s">
        <v>110</v>
      </c>
      <c r="N16" s="13" t="s">
        <v>137</v>
      </c>
      <c r="O16" s="14"/>
      <c r="P16" s="14" t="str">
        <f>"270,0"</f>
        <v>270,0</v>
      </c>
      <c r="Q16" s="14" t="str">
        <f>"196,9110"</f>
        <v>196,9110</v>
      </c>
      <c r="R16" s="11" t="s">
        <v>138</v>
      </c>
    </row>
    <row r="17" spans="1:18" x14ac:dyDescent="0.2">
      <c r="A17" s="21" t="s">
        <v>16</v>
      </c>
      <c r="B17" s="19" t="s">
        <v>767</v>
      </c>
      <c r="C17" s="19" t="s">
        <v>768</v>
      </c>
      <c r="D17" s="19" t="s">
        <v>769</v>
      </c>
      <c r="E17" s="19" t="str">
        <f>"0,7193"</f>
        <v>0,7193</v>
      </c>
      <c r="F17" s="19" t="s">
        <v>20</v>
      </c>
      <c r="G17" s="19" t="s">
        <v>69</v>
      </c>
      <c r="H17" s="20" t="s">
        <v>82</v>
      </c>
      <c r="I17" s="20" t="s">
        <v>88</v>
      </c>
      <c r="J17" s="22" t="s">
        <v>57</v>
      </c>
      <c r="K17" s="21"/>
      <c r="L17" s="20" t="s">
        <v>110</v>
      </c>
      <c r="M17" s="22" t="s">
        <v>229</v>
      </c>
      <c r="N17" s="20" t="s">
        <v>229</v>
      </c>
      <c r="O17" s="21"/>
      <c r="P17" s="21" t="str">
        <f>"295,0"</f>
        <v>295,0</v>
      </c>
      <c r="Q17" s="21" t="str">
        <f>"212,1935"</f>
        <v>212,1935</v>
      </c>
      <c r="R17" s="19" t="s">
        <v>59</v>
      </c>
    </row>
    <row r="18" spans="1:18" x14ac:dyDescent="0.2">
      <c r="B18" s="5" t="s">
        <v>38</v>
      </c>
    </row>
    <row r="19" spans="1:18" ht="15" x14ac:dyDescent="0.2">
      <c r="A19" s="81" t="s">
        <v>192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8" x14ac:dyDescent="0.2">
      <c r="A20" s="14" t="s">
        <v>16</v>
      </c>
      <c r="B20" s="11" t="s">
        <v>770</v>
      </c>
      <c r="C20" s="11" t="s">
        <v>771</v>
      </c>
      <c r="D20" s="11" t="s">
        <v>772</v>
      </c>
      <c r="E20" s="11" t="str">
        <f>"0,6916"</f>
        <v>0,6916</v>
      </c>
      <c r="F20" s="11" t="s">
        <v>20</v>
      </c>
      <c r="G20" s="11" t="s">
        <v>773</v>
      </c>
      <c r="H20" s="12" t="s">
        <v>116</v>
      </c>
      <c r="I20" s="13" t="s">
        <v>90</v>
      </c>
      <c r="J20" s="13" t="s">
        <v>117</v>
      </c>
      <c r="K20" s="14"/>
      <c r="L20" s="13" t="s">
        <v>123</v>
      </c>
      <c r="M20" s="13" t="s">
        <v>166</v>
      </c>
      <c r="N20" s="12" t="s">
        <v>124</v>
      </c>
      <c r="O20" s="14"/>
      <c r="P20" s="14" t="str">
        <f>"317,5"</f>
        <v>317,5</v>
      </c>
      <c r="Q20" s="14" t="str">
        <f>"219,5830"</f>
        <v>219,5830</v>
      </c>
      <c r="R20" s="11" t="s">
        <v>774</v>
      </c>
    </row>
    <row r="21" spans="1:18" x14ac:dyDescent="0.2">
      <c r="A21" s="17" t="s">
        <v>16</v>
      </c>
      <c r="B21" s="15" t="s">
        <v>775</v>
      </c>
      <c r="C21" s="15" t="s">
        <v>776</v>
      </c>
      <c r="D21" s="15" t="s">
        <v>777</v>
      </c>
      <c r="E21" s="15" t="str">
        <f>"0,6963"</f>
        <v>0,6963</v>
      </c>
      <c r="F21" s="15" t="s">
        <v>20</v>
      </c>
      <c r="G21" s="15" t="s">
        <v>69</v>
      </c>
      <c r="H21" s="16" t="s">
        <v>118</v>
      </c>
      <c r="I21" s="16" t="s">
        <v>125</v>
      </c>
      <c r="J21" s="16" t="s">
        <v>136</v>
      </c>
      <c r="K21" s="17"/>
      <c r="L21" s="16" t="s">
        <v>123</v>
      </c>
      <c r="M21" s="16" t="s">
        <v>124</v>
      </c>
      <c r="N21" s="16" t="s">
        <v>143</v>
      </c>
      <c r="O21" s="17"/>
      <c r="P21" s="17" t="str">
        <f>"350,0"</f>
        <v>350,0</v>
      </c>
      <c r="Q21" s="17" t="str">
        <f>"243,7050"</f>
        <v>243,7050</v>
      </c>
      <c r="R21" s="15" t="s">
        <v>59</v>
      </c>
    </row>
    <row r="22" spans="1:18" x14ac:dyDescent="0.2">
      <c r="A22" s="17" t="s">
        <v>60</v>
      </c>
      <c r="B22" s="15" t="s">
        <v>778</v>
      </c>
      <c r="C22" s="15" t="s">
        <v>779</v>
      </c>
      <c r="D22" s="15" t="s">
        <v>195</v>
      </c>
      <c r="E22" s="15" t="str">
        <f>"0,6729"</f>
        <v>0,6729</v>
      </c>
      <c r="F22" s="15" t="s">
        <v>20</v>
      </c>
      <c r="G22" s="15" t="s">
        <v>69</v>
      </c>
      <c r="H22" s="16" t="s">
        <v>83</v>
      </c>
      <c r="I22" s="16" t="s">
        <v>118</v>
      </c>
      <c r="J22" s="16" t="s">
        <v>91</v>
      </c>
      <c r="K22" s="17"/>
      <c r="L22" s="16" t="s">
        <v>110</v>
      </c>
      <c r="M22" s="16" t="s">
        <v>228</v>
      </c>
      <c r="N22" s="16" t="s">
        <v>123</v>
      </c>
      <c r="O22" s="17"/>
      <c r="P22" s="17" t="str">
        <f>"322,5"</f>
        <v>322,5</v>
      </c>
      <c r="Q22" s="17" t="str">
        <f>"217,0103"</f>
        <v>217,0103</v>
      </c>
      <c r="R22" s="15" t="s">
        <v>59</v>
      </c>
    </row>
    <row r="23" spans="1:18" x14ac:dyDescent="0.2">
      <c r="A23" s="17" t="s">
        <v>186</v>
      </c>
      <c r="B23" s="15" t="s">
        <v>780</v>
      </c>
      <c r="C23" s="15" t="s">
        <v>781</v>
      </c>
      <c r="D23" s="15" t="s">
        <v>195</v>
      </c>
      <c r="E23" s="15" t="str">
        <f>"0,6729"</f>
        <v>0,6729</v>
      </c>
      <c r="F23" s="15" t="s">
        <v>20</v>
      </c>
      <c r="G23" s="15" t="s">
        <v>69</v>
      </c>
      <c r="H23" s="18" t="s">
        <v>125</v>
      </c>
      <c r="I23" s="18" t="s">
        <v>125</v>
      </c>
      <c r="J23" s="18" t="s">
        <v>125</v>
      </c>
      <c r="K23" s="17"/>
      <c r="L23" s="16" t="s">
        <v>100</v>
      </c>
      <c r="M23" s="18" t="s">
        <v>144</v>
      </c>
      <c r="N23" s="17"/>
      <c r="O23" s="17"/>
      <c r="P23" s="17" t="str">
        <f>"0.00"</f>
        <v>0.00</v>
      </c>
      <c r="Q23" s="17" t="str">
        <f>"0,0000"</f>
        <v>0,0000</v>
      </c>
      <c r="R23" s="15" t="s">
        <v>59</v>
      </c>
    </row>
    <row r="24" spans="1:18" x14ac:dyDescent="0.2">
      <c r="A24" s="21" t="s">
        <v>16</v>
      </c>
      <c r="B24" s="19" t="s">
        <v>782</v>
      </c>
      <c r="C24" s="19" t="s">
        <v>783</v>
      </c>
      <c r="D24" s="19" t="s">
        <v>784</v>
      </c>
      <c r="E24" s="19" t="str">
        <f>"0,6849"</f>
        <v>0,6849</v>
      </c>
      <c r="F24" s="19" t="s">
        <v>552</v>
      </c>
      <c r="G24" s="19" t="s">
        <v>708</v>
      </c>
      <c r="H24" s="20" t="s">
        <v>30</v>
      </c>
      <c r="I24" s="20" t="s">
        <v>37</v>
      </c>
      <c r="J24" s="22" t="s">
        <v>82</v>
      </c>
      <c r="K24" s="21"/>
      <c r="L24" s="20" t="s">
        <v>98</v>
      </c>
      <c r="M24" s="20" t="s">
        <v>99</v>
      </c>
      <c r="N24" s="20" t="s">
        <v>137</v>
      </c>
      <c r="O24" s="21"/>
      <c r="P24" s="21" t="str">
        <f>"280,0"</f>
        <v>280,0</v>
      </c>
      <c r="Q24" s="21" t="str">
        <f>"223,9897"</f>
        <v>223,9897</v>
      </c>
      <c r="R24" s="19" t="s">
        <v>785</v>
      </c>
    </row>
    <row r="25" spans="1:18" x14ac:dyDescent="0.2">
      <c r="B25" s="5" t="s">
        <v>38</v>
      </c>
    </row>
    <row r="26" spans="1:18" ht="15" x14ac:dyDescent="0.2">
      <c r="A26" s="81" t="s">
        <v>246</v>
      </c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8" x14ac:dyDescent="0.2">
      <c r="A27" s="14" t="s">
        <v>16</v>
      </c>
      <c r="B27" s="11" t="s">
        <v>786</v>
      </c>
      <c r="C27" s="11" t="s">
        <v>787</v>
      </c>
      <c r="D27" s="11" t="s">
        <v>264</v>
      </c>
      <c r="E27" s="11" t="str">
        <f>"0,6479"</f>
        <v>0,6479</v>
      </c>
      <c r="F27" s="11" t="s">
        <v>20</v>
      </c>
      <c r="G27" s="11" t="s">
        <v>788</v>
      </c>
      <c r="H27" s="13" t="s">
        <v>137</v>
      </c>
      <c r="I27" s="13" t="s">
        <v>123</v>
      </c>
      <c r="J27" s="12" t="s">
        <v>166</v>
      </c>
      <c r="K27" s="14"/>
      <c r="L27" s="13" t="s">
        <v>144</v>
      </c>
      <c r="M27" s="12" t="s">
        <v>101</v>
      </c>
      <c r="N27" s="14"/>
      <c r="O27" s="14"/>
      <c r="P27" s="14" t="str">
        <f>"390,0"</f>
        <v>390,0</v>
      </c>
      <c r="Q27" s="14" t="str">
        <f>"252,6810"</f>
        <v>252,6810</v>
      </c>
      <c r="R27" s="11" t="s">
        <v>59</v>
      </c>
    </row>
    <row r="28" spans="1:18" x14ac:dyDescent="0.2">
      <c r="A28" s="17" t="s">
        <v>60</v>
      </c>
      <c r="B28" s="15" t="s">
        <v>277</v>
      </c>
      <c r="C28" s="15" t="s">
        <v>278</v>
      </c>
      <c r="D28" s="15" t="s">
        <v>274</v>
      </c>
      <c r="E28" s="15" t="str">
        <f>"0,6424"</f>
        <v>0,6424</v>
      </c>
      <c r="F28" s="15" t="s">
        <v>20</v>
      </c>
      <c r="G28" s="15" t="s">
        <v>279</v>
      </c>
      <c r="H28" s="16" t="s">
        <v>116</v>
      </c>
      <c r="I28" s="18" t="s">
        <v>130</v>
      </c>
      <c r="J28" s="18" t="s">
        <v>130</v>
      </c>
      <c r="K28" s="17"/>
      <c r="L28" s="16" t="s">
        <v>143</v>
      </c>
      <c r="M28" s="18" t="s">
        <v>144</v>
      </c>
      <c r="N28" s="16" t="s">
        <v>144</v>
      </c>
      <c r="O28" s="17"/>
      <c r="P28" s="17" t="str">
        <f>"330,0"</f>
        <v>330,0</v>
      </c>
      <c r="Q28" s="17" t="str">
        <f>"211,9920"</f>
        <v>211,9920</v>
      </c>
      <c r="R28" s="15" t="s">
        <v>280</v>
      </c>
    </row>
    <row r="29" spans="1:18" x14ac:dyDescent="0.2">
      <c r="A29" s="21" t="s">
        <v>65</v>
      </c>
      <c r="B29" s="19" t="s">
        <v>789</v>
      </c>
      <c r="C29" s="19" t="s">
        <v>790</v>
      </c>
      <c r="D29" s="19" t="s">
        <v>274</v>
      </c>
      <c r="E29" s="19" t="str">
        <f>"0,6424"</f>
        <v>0,6424</v>
      </c>
      <c r="F29" s="19" t="s">
        <v>20</v>
      </c>
      <c r="G29" s="19" t="s">
        <v>791</v>
      </c>
      <c r="H29" s="22" t="s">
        <v>58</v>
      </c>
      <c r="I29" s="20" t="s">
        <v>58</v>
      </c>
      <c r="J29" s="22" t="s">
        <v>83</v>
      </c>
      <c r="K29" s="21"/>
      <c r="L29" s="20" t="s">
        <v>124</v>
      </c>
      <c r="M29" s="22" t="s">
        <v>100</v>
      </c>
      <c r="N29" s="22" t="s">
        <v>100</v>
      </c>
      <c r="O29" s="21"/>
      <c r="P29" s="21" t="str">
        <f>"320,0"</f>
        <v>320,0</v>
      </c>
      <c r="Q29" s="21" t="str">
        <f>"205,5680"</f>
        <v>205,5680</v>
      </c>
      <c r="R29" s="19" t="s">
        <v>792</v>
      </c>
    </row>
    <row r="30" spans="1:18" x14ac:dyDescent="0.2">
      <c r="B30" s="5" t="s">
        <v>38</v>
      </c>
    </row>
    <row r="31" spans="1:18" ht="15" x14ac:dyDescent="0.2">
      <c r="A31" s="81" t="s">
        <v>295</v>
      </c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8" x14ac:dyDescent="0.2">
      <c r="A32" s="14" t="s">
        <v>16</v>
      </c>
      <c r="B32" s="11" t="s">
        <v>793</v>
      </c>
      <c r="C32" s="11" t="s">
        <v>794</v>
      </c>
      <c r="D32" s="11" t="s">
        <v>676</v>
      </c>
      <c r="E32" s="11" t="str">
        <f>"0,6158"</f>
        <v>0,6158</v>
      </c>
      <c r="F32" s="11" t="s">
        <v>20</v>
      </c>
      <c r="G32" s="11" t="s">
        <v>579</v>
      </c>
      <c r="H32" s="13" t="s">
        <v>58</v>
      </c>
      <c r="I32" s="13" t="s">
        <v>118</v>
      </c>
      <c r="J32" s="12" t="s">
        <v>125</v>
      </c>
      <c r="K32" s="14"/>
      <c r="L32" s="13" t="s">
        <v>143</v>
      </c>
      <c r="M32" s="13" t="s">
        <v>144</v>
      </c>
      <c r="N32" s="13" t="s">
        <v>223</v>
      </c>
      <c r="O32" s="14"/>
      <c r="P32" s="14" t="str">
        <f>"355,0"</f>
        <v>355,0</v>
      </c>
      <c r="Q32" s="14" t="str">
        <f>"218,6090"</f>
        <v>218,6090</v>
      </c>
      <c r="R32" s="11" t="s">
        <v>795</v>
      </c>
    </row>
    <row r="33" spans="1:18" x14ac:dyDescent="0.2">
      <c r="A33" s="21" t="s">
        <v>186</v>
      </c>
      <c r="B33" s="19" t="s">
        <v>796</v>
      </c>
      <c r="C33" s="19" t="s">
        <v>797</v>
      </c>
      <c r="D33" s="19" t="s">
        <v>798</v>
      </c>
      <c r="E33" s="19" t="str">
        <f>"0,6166"</f>
        <v>0,6166</v>
      </c>
      <c r="F33" s="19" t="s">
        <v>20</v>
      </c>
      <c r="G33" s="19" t="s">
        <v>279</v>
      </c>
      <c r="H33" s="22" t="s">
        <v>160</v>
      </c>
      <c r="I33" s="22" t="s">
        <v>160</v>
      </c>
      <c r="J33" s="22" t="s">
        <v>160</v>
      </c>
      <c r="K33" s="21"/>
      <c r="L33" s="21"/>
      <c r="M33" s="21"/>
      <c r="N33" s="21"/>
      <c r="O33" s="21"/>
      <c r="P33" s="29">
        <v>0</v>
      </c>
      <c r="Q33" s="21" t="str">
        <f>"0,0000"</f>
        <v>0,0000</v>
      </c>
      <c r="R33" s="19" t="s">
        <v>799</v>
      </c>
    </row>
    <row r="34" spans="1:18" x14ac:dyDescent="0.2">
      <c r="B34" s="5" t="s">
        <v>38</v>
      </c>
    </row>
    <row r="35" spans="1:18" ht="15" x14ac:dyDescent="0.2">
      <c r="A35" s="81" t="s">
        <v>323</v>
      </c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8" x14ac:dyDescent="0.2">
      <c r="A36" s="14" t="s">
        <v>16</v>
      </c>
      <c r="B36" s="11" t="s">
        <v>800</v>
      </c>
      <c r="C36" s="11" t="s">
        <v>801</v>
      </c>
      <c r="D36" s="11" t="s">
        <v>802</v>
      </c>
      <c r="E36" s="11" t="str">
        <f>"0,5964"</f>
        <v>0,5964</v>
      </c>
      <c r="F36" s="11" t="s">
        <v>171</v>
      </c>
      <c r="G36" s="11" t="s">
        <v>803</v>
      </c>
      <c r="H36" s="13" t="s">
        <v>99</v>
      </c>
      <c r="I36" s="13" t="s">
        <v>137</v>
      </c>
      <c r="J36" s="13" t="s">
        <v>123</v>
      </c>
      <c r="K36" s="14"/>
      <c r="L36" s="13" t="s">
        <v>313</v>
      </c>
      <c r="M36" s="13" t="s">
        <v>174</v>
      </c>
      <c r="N36" s="13" t="s">
        <v>154</v>
      </c>
      <c r="O36" s="14"/>
      <c r="P36" s="14" t="str">
        <f>"430,0"</f>
        <v>430,0</v>
      </c>
      <c r="Q36" s="14" t="str">
        <f>"256,4520"</f>
        <v>256,4520</v>
      </c>
      <c r="R36" s="11" t="s">
        <v>804</v>
      </c>
    </row>
    <row r="37" spans="1:18" x14ac:dyDescent="0.2">
      <c r="A37" s="17" t="s">
        <v>60</v>
      </c>
      <c r="B37" s="15" t="s">
        <v>326</v>
      </c>
      <c r="C37" s="15" t="s">
        <v>327</v>
      </c>
      <c r="D37" s="15" t="s">
        <v>328</v>
      </c>
      <c r="E37" s="15" t="str">
        <f>"0,6032"</f>
        <v>0,6032</v>
      </c>
      <c r="F37" s="15" t="s">
        <v>20</v>
      </c>
      <c r="G37" s="15" t="s">
        <v>135</v>
      </c>
      <c r="H37" s="16" t="s">
        <v>99</v>
      </c>
      <c r="I37" s="18" t="s">
        <v>123</v>
      </c>
      <c r="J37" s="18" t="s">
        <v>123</v>
      </c>
      <c r="K37" s="17"/>
      <c r="L37" s="16" t="s">
        <v>153</v>
      </c>
      <c r="M37" s="16" t="s">
        <v>154</v>
      </c>
      <c r="N37" s="18" t="s">
        <v>155</v>
      </c>
      <c r="O37" s="17"/>
      <c r="P37" s="17" t="str">
        <f>"420,0"</f>
        <v>420,0</v>
      </c>
      <c r="Q37" s="17" t="str">
        <f>"253,3440"</f>
        <v>253,3440</v>
      </c>
      <c r="R37" s="15" t="s">
        <v>329</v>
      </c>
    </row>
    <row r="38" spans="1:18" x14ac:dyDescent="0.2">
      <c r="A38" s="17" t="s">
        <v>65</v>
      </c>
      <c r="B38" s="15" t="s">
        <v>330</v>
      </c>
      <c r="C38" s="15" t="s">
        <v>597</v>
      </c>
      <c r="D38" s="15" t="s">
        <v>332</v>
      </c>
      <c r="E38" s="15" t="str">
        <f>"0,5910"</f>
        <v>0,5910</v>
      </c>
      <c r="F38" s="15" t="s">
        <v>20</v>
      </c>
      <c r="G38" s="15" t="s">
        <v>279</v>
      </c>
      <c r="H38" s="16" t="s">
        <v>118</v>
      </c>
      <c r="I38" s="16" t="s">
        <v>136</v>
      </c>
      <c r="J38" s="16" t="s">
        <v>98</v>
      </c>
      <c r="K38" s="17"/>
      <c r="L38" s="16" t="s">
        <v>143</v>
      </c>
      <c r="M38" s="16" t="s">
        <v>144</v>
      </c>
      <c r="N38" s="18" t="s">
        <v>101</v>
      </c>
      <c r="O38" s="17"/>
      <c r="P38" s="17" t="str">
        <f>"370,0"</f>
        <v>370,0</v>
      </c>
      <c r="Q38" s="17" t="str">
        <f>"218,6700"</f>
        <v>218,6700</v>
      </c>
      <c r="R38" s="15" t="s">
        <v>59</v>
      </c>
    </row>
    <row r="39" spans="1:18" x14ac:dyDescent="0.2">
      <c r="A39" s="21" t="s">
        <v>16</v>
      </c>
      <c r="B39" s="19" t="s">
        <v>330</v>
      </c>
      <c r="C39" s="19" t="s">
        <v>331</v>
      </c>
      <c r="D39" s="19" t="s">
        <v>332</v>
      </c>
      <c r="E39" s="19" t="str">
        <f>"0,5910"</f>
        <v>0,5910</v>
      </c>
      <c r="F39" s="19" t="s">
        <v>20</v>
      </c>
      <c r="G39" s="19" t="s">
        <v>279</v>
      </c>
      <c r="H39" s="20" t="s">
        <v>118</v>
      </c>
      <c r="I39" s="20" t="s">
        <v>136</v>
      </c>
      <c r="J39" s="20" t="s">
        <v>98</v>
      </c>
      <c r="K39" s="21"/>
      <c r="L39" s="20" t="s">
        <v>143</v>
      </c>
      <c r="M39" s="20" t="s">
        <v>144</v>
      </c>
      <c r="N39" s="22" t="s">
        <v>101</v>
      </c>
      <c r="O39" s="21"/>
      <c r="P39" s="21" t="str">
        <f>"370,0"</f>
        <v>370,0</v>
      </c>
      <c r="Q39" s="21" t="str">
        <f>"228,2915"</f>
        <v>228,2915</v>
      </c>
      <c r="R39" s="19" t="s">
        <v>59</v>
      </c>
    </row>
    <row r="40" spans="1:18" x14ac:dyDescent="0.2">
      <c r="B40" s="5" t="s">
        <v>38</v>
      </c>
    </row>
    <row r="41" spans="1:18" ht="15" x14ac:dyDescent="0.2">
      <c r="A41" s="81" t="s">
        <v>333</v>
      </c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8" x14ac:dyDescent="0.2">
      <c r="A42" s="14" t="s">
        <v>16</v>
      </c>
      <c r="B42" s="11" t="s">
        <v>805</v>
      </c>
      <c r="C42" s="11" t="s">
        <v>806</v>
      </c>
      <c r="D42" s="11" t="s">
        <v>807</v>
      </c>
      <c r="E42" s="11" t="str">
        <f>"0,5801"</f>
        <v>0,5801</v>
      </c>
      <c r="F42" s="11" t="s">
        <v>20</v>
      </c>
      <c r="G42" s="11" t="s">
        <v>808</v>
      </c>
      <c r="H42" s="12" t="s">
        <v>137</v>
      </c>
      <c r="I42" s="13" t="s">
        <v>137</v>
      </c>
      <c r="J42" s="12" t="s">
        <v>152</v>
      </c>
      <c r="K42" s="14"/>
      <c r="L42" s="13" t="s">
        <v>101</v>
      </c>
      <c r="M42" s="13" t="s">
        <v>250</v>
      </c>
      <c r="N42" s="13" t="s">
        <v>175</v>
      </c>
      <c r="O42" s="14"/>
      <c r="P42" s="14" t="str">
        <f>"430,0"</f>
        <v>430,0</v>
      </c>
      <c r="Q42" s="14" t="str">
        <f>"249,4430"</f>
        <v>249,4430</v>
      </c>
      <c r="R42" s="11" t="s">
        <v>809</v>
      </c>
    </row>
    <row r="43" spans="1:18" x14ac:dyDescent="0.2">
      <c r="A43" s="17" t="s">
        <v>60</v>
      </c>
      <c r="B43" s="15" t="s">
        <v>334</v>
      </c>
      <c r="C43" s="15" t="s">
        <v>339</v>
      </c>
      <c r="D43" s="15" t="s">
        <v>336</v>
      </c>
      <c r="E43" s="15" t="str">
        <f>"0,5786"</f>
        <v>0,5786</v>
      </c>
      <c r="F43" s="15" t="s">
        <v>20</v>
      </c>
      <c r="G43" s="15" t="s">
        <v>337</v>
      </c>
      <c r="H43" s="16" t="s">
        <v>98</v>
      </c>
      <c r="I43" s="18" t="s">
        <v>99</v>
      </c>
      <c r="J43" s="18" t="s">
        <v>99</v>
      </c>
      <c r="K43" s="17"/>
      <c r="L43" s="16" t="s">
        <v>154</v>
      </c>
      <c r="M43" s="18" t="s">
        <v>175</v>
      </c>
      <c r="N43" s="17"/>
      <c r="O43" s="17"/>
      <c r="P43" s="17" t="str">
        <f>"410,0"</f>
        <v>410,0</v>
      </c>
      <c r="Q43" s="17" t="str">
        <f>"237,2260"</f>
        <v>237,2260</v>
      </c>
      <c r="R43" s="15" t="s">
        <v>338</v>
      </c>
    </row>
    <row r="44" spans="1:18" x14ac:dyDescent="0.2">
      <c r="A44" s="21" t="s">
        <v>16</v>
      </c>
      <c r="B44" s="19" t="s">
        <v>810</v>
      </c>
      <c r="C44" s="19" t="s">
        <v>811</v>
      </c>
      <c r="D44" s="19" t="s">
        <v>812</v>
      </c>
      <c r="E44" s="19" t="str">
        <f>"0,5793"</f>
        <v>0,5793</v>
      </c>
      <c r="F44" s="19" t="s">
        <v>552</v>
      </c>
      <c r="G44" s="19" t="s">
        <v>708</v>
      </c>
      <c r="H44" s="20" t="s">
        <v>83</v>
      </c>
      <c r="I44" s="20" t="s">
        <v>91</v>
      </c>
      <c r="J44" s="20" t="s">
        <v>312</v>
      </c>
      <c r="K44" s="21"/>
      <c r="L44" s="20" t="s">
        <v>101</v>
      </c>
      <c r="M44" s="20" t="s">
        <v>208</v>
      </c>
      <c r="N44" s="21"/>
      <c r="O44" s="21"/>
      <c r="P44" s="21" t="str">
        <f>"382,5"</f>
        <v>382,5</v>
      </c>
      <c r="Q44" s="21" t="str">
        <f>"312,4310"</f>
        <v>312,4310</v>
      </c>
      <c r="R44" s="19" t="s">
        <v>59</v>
      </c>
    </row>
    <row r="45" spans="1:18" x14ac:dyDescent="0.2">
      <c r="B45" s="5" t="s">
        <v>38</v>
      </c>
    </row>
    <row r="46" spans="1:18" ht="15" x14ac:dyDescent="0.2">
      <c r="B46" s="5" t="s">
        <v>38</v>
      </c>
      <c r="F46" s="23"/>
    </row>
    <row r="47" spans="1:18" x14ac:dyDescent="0.2">
      <c r="B47" s="5" t="s">
        <v>38</v>
      </c>
    </row>
    <row r="48" spans="1:18" ht="18" x14ac:dyDescent="0.2">
      <c r="B48" s="24" t="s">
        <v>340</v>
      </c>
      <c r="C48" s="24"/>
      <c r="G48" s="3"/>
    </row>
    <row r="49" spans="2:7" ht="15" x14ac:dyDescent="0.2">
      <c r="B49" s="73" t="s">
        <v>341</v>
      </c>
      <c r="C49" s="73"/>
      <c r="G49" s="3"/>
    </row>
    <row r="50" spans="2:7" ht="14.25" x14ac:dyDescent="0.2">
      <c r="B50" s="25"/>
      <c r="C50" s="25" t="s">
        <v>358</v>
      </c>
      <c r="G50" s="3"/>
    </row>
    <row r="51" spans="2:7" ht="15" x14ac:dyDescent="0.2">
      <c r="B51" s="4" t="s">
        <v>343</v>
      </c>
      <c r="C51" s="4" t="s">
        <v>344</v>
      </c>
      <c r="D51" s="4" t="s">
        <v>345</v>
      </c>
      <c r="E51" s="4" t="s">
        <v>346</v>
      </c>
      <c r="F51" s="4" t="s">
        <v>347</v>
      </c>
      <c r="G51" s="3"/>
    </row>
    <row r="52" spans="2:7" x14ac:dyDescent="0.2">
      <c r="B52" s="5" t="s">
        <v>800</v>
      </c>
      <c r="C52" s="5" t="s">
        <v>358</v>
      </c>
      <c r="D52" s="6" t="s">
        <v>813</v>
      </c>
      <c r="E52" s="6" t="s">
        <v>814</v>
      </c>
      <c r="F52" s="6" t="s">
        <v>815</v>
      </c>
      <c r="G52" s="3"/>
    </row>
    <row r="53" spans="2:7" x14ac:dyDescent="0.2">
      <c r="B53" s="5" t="s">
        <v>326</v>
      </c>
      <c r="C53" s="5" t="s">
        <v>358</v>
      </c>
      <c r="D53" s="6" t="s">
        <v>813</v>
      </c>
      <c r="E53" s="6" t="s">
        <v>816</v>
      </c>
      <c r="F53" s="6" t="s">
        <v>817</v>
      </c>
      <c r="G53" s="3"/>
    </row>
    <row r="54" spans="2:7" x14ac:dyDescent="0.2">
      <c r="B54" s="5" t="s">
        <v>786</v>
      </c>
      <c r="C54" s="5" t="s">
        <v>358</v>
      </c>
      <c r="D54" s="6" t="s">
        <v>352</v>
      </c>
      <c r="E54" s="6" t="s">
        <v>517</v>
      </c>
      <c r="F54" s="6" t="s">
        <v>818</v>
      </c>
      <c r="G54" s="3"/>
    </row>
    <row r="55" spans="2:7" x14ac:dyDescent="0.2">
      <c r="B55" s="5" t="s">
        <v>38</v>
      </c>
    </row>
  </sheetData>
  <mergeCells count="22">
    <mergeCell ref="A41:Q41"/>
    <mergeCell ref="P3:P4"/>
    <mergeCell ref="Q3:Q4"/>
    <mergeCell ref="R3:R4"/>
    <mergeCell ref="A5:Q5"/>
    <mergeCell ref="A8:Q8"/>
    <mergeCell ref="A11:Q11"/>
    <mergeCell ref="B3:B4"/>
    <mergeCell ref="A15:Q15"/>
    <mergeCell ref="A19:Q19"/>
    <mergeCell ref="A26:Q26"/>
    <mergeCell ref="A31:Q31"/>
    <mergeCell ref="A35:Q35"/>
    <mergeCell ref="A1:R2"/>
    <mergeCell ref="A3:A4"/>
    <mergeCell ref="C3:C4"/>
    <mergeCell ref="D3:D4"/>
    <mergeCell ref="E3:E4"/>
    <mergeCell ref="F3:F4"/>
    <mergeCell ref="G3:G4"/>
    <mergeCell ref="H3:K3"/>
    <mergeCell ref="L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48"/>
  <sheetViews>
    <sheetView workbookViewId="0">
      <selection sqref="A1:R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5.42578125" style="5" bestFit="1" customWidth="1"/>
    <col min="7" max="7" width="19.140625" style="5" bestFit="1" customWidth="1"/>
    <col min="8" max="10" width="5.42578125" style="6" bestFit="1" customWidth="1"/>
    <col min="11" max="11" width="4.85546875" style="6" bestFit="1" customWidth="1"/>
    <col min="12" max="15" width="5.42578125" style="6" bestFit="1" customWidth="1"/>
    <col min="16" max="16" width="7.85546875" style="30" bestFit="1" customWidth="1"/>
    <col min="17" max="17" width="8.42578125" style="6" bestFit="1" customWidth="1"/>
    <col min="18" max="18" width="17.42578125" style="5" bestFit="1" customWidth="1"/>
    <col min="19" max="16384" width="9.140625" style="3"/>
  </cols>
  <sheetData>
    <row r="1" spans="1:18" s="2" customFormat="1" ht="29.1" customHeight="1" x14ac:dyDescent="0.2">
      <c r="A1" s="83" t="s">
        <v>819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18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4" t="s">
        <v>10</v>
      </c>
      <c r="M3" s="94"/>
      <c r="N3" s="94"/>
      <c r="O3" s="94"/>
      <c r="P3" s="97" t="s">
        <v>11</v>
      </c>
      <c r="Q3" s="94" t="s">
        <v>12</v>
      </c>
      <c r="R3" s="77" t="s">
        <v>13</v>
      </c>
    </row>
    <row r="4" spans="1:18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74">
        <v>1</v>
      </c>
      <c r="M4" s="74">
        <v>2</v>
      </c>
      <c r="N4" s="74">
        <v>3</v>
      </c>
      <c r="O4" s="74" t="s">
        <v>14</v>
      </c>
      <c r="P4" s="98"/>
      <c r="Q4" s="93"/>
      <c r="R4" s="78"/>
    </row>
    <row r="5" spans="1:18" ht="15" x14ac:dyDescent="0.2">
      <c r="A5" s="79" t="s">
        <v>48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8" x14ac:dyDescent="0.2">
      <c r="A6" s="10" t="s">
        <v>16</v>
      </c>
      <c r="B6" s="7" t="s">
        <v>820</v>
      </c>
      <c r="C6" s="7" t="s">
        <v>821</v>
      </c>
      <c r="D6" s="7" t="s">
        <v>822</v>
      </c>
      <c r="E6" s="7" t="str">
        <f>"1,1266"</f>
        <v>1,1266</v>
      </c>
      <c r="F6" s="7" t="s">
        <v>20</v>
      </c>
      <c r="G6" s="7" t="s">
        <v>69</v>
      </c>
      <c r="H6" s="8" t="s">
        <v>44</v>
      </c>
      <c r="I6" s="8" t="s">
        <v>45</v>
      </c>
      <c r="J6" s="9" t="s">
        <v>54</v>
      </c>
      <c r="K6" s="10"/>
      <c r="L6" s="8" t="s">
        <v>34</v>
      </c>
      <c r="M6" s="8" t="s">
        <v>35</v>
      </c>
      <c r="N6" s="10"/>
      <c r="O6" s="10"/>
      <c r="P6" s="31" t="str">
        <f>"135,0"</f>
        <v>135,0</v>
      </c>
      <c r="Q6" s="10" t="str">
        <f>"152,0910"</f>
        <v>152,0910</v>
      </c>
      <c r="R6" s="7" t="s">
        <v>823</v>
      </c>
    </row>
    <row r="7" spans="1:18" x14ac:dyDescent="0.2">
      <c r="B7" s="5" t="s">
        <v>38</v>
      </c>
    </row>
    <row r="8" spans="1:18" ht="15" x14ac:dyDescent="0.2">
      <c r="A8" s="81" t="s">
        <v>73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8" x14ac:dyDescent="0.2">
      <c r="A9" s="10" t="s">
        <v>16</v>
      </c>
      <c r="B9" s="7" t="s">
        <v>824</v>
      </c>
      <c r="C9" s="7" t="s">
        <v>825</v>
      </c>
      <c r="D9" s="7" t="s">
        <v>826</v>
      </c>
      <c r="E9" s="7" t="str">
        <f>"1,0397"</f>
        <v>1,0397</v>
      </c>
      <c r="F9" s="7" t="s">
        <v>20</v>
      </c>
      <c r="G9" s="7" t="s">
        <v>69</v>
      </c>
      <c r="H9" s="9" t="s">
        <v>55</v>
      </c>
      <c r="I9" s="8" t="s">
        <v>55</v>
      </c>
      <c r="J9" s="8" t="s">
        <v>89</v>
      </c>
      <c r="K9" s="10"/>
      <c r="L9" s="8" t="s">
        <v>29</v>
      </c>
      <c r="M9" s="8" t="s">
        <v>30</v>
      </c>
      <c r="N9" s="8" t="s">
        <v>385</v>
      </c>
      <c r="O9" s="10"/>
      <c r="P9" s="31" t="str">
        <f>"167,5"</f>
        <v>167,5</v>
      </c>
      <c r="Q9" s="10" t="str">
        <f>"174,1498"</f>
        <v>174,1498</v>
      </c>
      <c r="R9" s="7" t="s">
        <v>823</v>
      </c>
    </row>
    <row r="10" spans="1:18" x14ac:dyDescent="0.2">
      <c r="B10" s="5" t="s">
        <v>38</v>
      </c>
    </row>
    <row r="11" spans="1:18" ht="15" x14ac:dyDescent="0.2">
      <c r="A11" s="81" t="s">
        <v>131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8" x14ac:dyDescent="0.2">
      <c r="A12" s="10" t="s">
        <v>16</v>
      </c>
      <c r="B12" s="7" t="s">
        <v>617</v>
      </c>
      <c r="C12" s="7" t="s">
        <v>618</v>
      </c>
      <c r="D12" s="7" t="s">
        <v>189</v>
      </c>
      <c r="E12" s="7" t="str">
        <f>"0,9547"</f>
        <v>0,9547</v>
      </c>
      <c r="F12" s="7" t="s">
        <v>20</v>
      </c>
      <c r="G12" s="7" t="s">
        <v>619</v>
      </c>
      <c r="H12" s="8" t="s">
        <v>30</v>
      </c>
      <c r="I12" s="8" t="s">
        <v>378</v>
      </c>
      <c r="J12" s="9" t="s">
        <v>386</v>
      </c>
      <c r="K12" s="10"/>
      <c r="L12" s="8" t="s">
        <v>143</v>
      </c>
      <c r="M12" s="8" t="s">
        <v>144</v>
      </c>
      <c r="N12" s="8" t="s">
        <v>223</v>
      </c>
      <c r="O12" s="10"/>
      <c r="P12" s="31" t="str">
        <f>"322,5"</f>
        <v>322,5</v>
      </c>
      <c r="Q12" s="10" t="str">
        <f>"307,8907"</f>
        <v>307,8907</v>
      </c>
      <c r="R12" s="7" t="s">
        <v>620</v>
      </c>
    </row>
    <row r="13" spans="1:18" x14ac:dyDescent="0.2">
      <c r="B13" s="5" t="s">
        <v>38</v>
      </c>
    </row>
    <row r="14" spans="1:18" ht="15" x14ac:dyDescent="0.2">
      <c r="A14" s="81" t="s">
        <v>131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8" x14ac:dyDescent="0.2">
      <c r="A15" s="10" t="s">
        <v>16</v>
      </c>
      <c r="B15" s="7" t="s">
        <v>405</v>
      </c>
      <c r="C15" s="7" t="s">
        <v>406</v>
      </c>
      <c r="D15" s="7" t="s">
        <v>170</v>
      </c>
      <c r="E15" s="7" t="str">
        <f>"0,7132"</f>
        <v>0,7132</v>
      </c>
      <c r="F15" s="7" t="s">
        <v>96</v>
      </c>
      <c r="G15" s="7" t="s">
        <v>666</v>
      </c>
      <c r="H15" s="8" t="s">
        <v>98</v>
      </c>
      <c r="I15" s="8" t="s">
        <v>228</v>
      </c>
      <c r="J15" s="9" t="s">
        <v>137</v>
      </c>
      <c r="K15" s="10"/>
      <c r="L15" s="8" t="s">
        <v>174</v>
      </c>
      <c r="M15" s="8" t="s">
        <v>251</v>
      </c>
      <c r="N15" s="9" t="s">
        <v>301</v>
      </c>
      <c r="O15" s="10"/>
      <c r="P15" s="31" t="str">
        <f>"432,5"</f>
        <v>432,5</v>
      </c>
      <c r="Q15" s="10" t="str">
        <f>"308,4590"</f>
        <v>308,4590</v>
      </c>
      <c r="R15" s="7" t="s">
        <v>102</v>
      </c>
    </row>
    <row r="16" spans="1:18" x14ac:dyDescent="0.2">
      <c r="B16" s="5" t="s">
        <v>38</v>
      </c>
    </row>
    <row r="17" spans="1:18" ht="15" x14ac:dyDescent="0.2">
      <c r="A17" s="81" t="s">
        <v>192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8" x14ac:dyDescent="0.2">
      <c r="A18" s="14" t="s">
        <v>16</v>
      </c>
      <c r="B18" s="11" t="s">
        <v>827</v>
      </c>
      <c r="C18" s="11" t="s">
        <v>485</v>
      </c>
      <c r="D18" s="11" t="s">
        <v>828</v>
      </c>
      <c r="E18" s="11" t="str">
        <f>"0,6699"</f>
        <v>0,6699</v>
      </c>
      <c r="F18" s="11" t="s">
        <v>20</v>
      </c>
      <c r="G18" s="11" t="s">
        <v>808</v>
      </c>
      <c r="H18" s="13" t="s">
        <v>110</v>
      </c>
      <c r="I18" s="13" t="s">
        <v>228</v>
      </c>
      <c r="J18" s="14"/>
      <c r="K18" s="14"/>
      <c r="L18" s="13" t="s">
        <v>259</v>
      </c>
      <c r="M18" s="12" t="s">
        <v>414</v>
      </c>
      <c r="N18" s="12" t="s">
        <v>414</v>
      </c>
      <c r="O18" s="14"/>
      <c r="P18" s="28" t="str">
        <f>"462,5"</f>
        <v>462,5</v>
      </c>
      <c r="Q18" s="14" t="str">
        <f>"309,8288"</f>
        <v>309,8288</v>
      </c>
      <c r="R18" s="11" t="s">
        <v>59</v>
      </c>
    </row>
    <row r="19" spans="1:18" x14ac:dyDescent="0.2">
      <c r="A19" s="17" t="s">
        <v>186</v>
      </c>
      <c r="B19" s="15" t="s">
        <v>829</v>
      </c>
      <c r="C19" s="15" t="s">
        <v>830</v>
      </c>
      <c r="D19" s="15" t="s">
        <v>831</v>
      </c>
      <c r="E19" s="15" t="str">
        <f>"0,6744"</f>
        <v>0,6744</v>
      </c>
      <c r="F19" s="15" t="s">
        <v>96</v>
      </c>
      <c r="G19" s="15" t="s">
        <v>97</v>
      </c>
      <c r="H19" s="16" t="s">
        <v>58</v>
      </c>
      <c r="I19" s="16" t="s">
        <v>118</v>
      </c>
      <c r="J19" s="16" t="s">
        <v>136</v>
      </c>
      <c r="K19" s="17"/>
      <c r="L19" s="18" t="s">
        <v>153</v>
      </c>
      <c r="M19" s="18" t="s">
        <v>153</v>
      </c>
      <c r="N19" s="18" t="s">
        <v>153</v>
      </c>
      <c r="O19" s="17"/>
      <c r="P19" s="32">
        <v>0</v>
      </c>
      <c r="Q19" s="17" t="str">
        <f>"0,0000"</f>
        <v>0,0000</v>
      </c>
      <c r="R19" s="15" t="s">
        <v>832</v>
      </c>
    </row>
    <row r="20" spans="1:18" x14ac:dyDescent="0.2">
      <c r="A20" s="21" t="s">
        <v>186</v>
      </c>
      <c r="B20" s="19" t="s">
        <v>780</v>
      </c>
      <c r="C20" s="19" t="s">
        <v>781</v>
      </c>
      <c r="D20" s="19" t="s">
        <v>195</v>
      </c>
      <c r="E20" s="19" t="str">
        <f>"0,6729"</f>
        <v>0,6729</v>
      </c>
      <c r="F20" s="19" t="s">
        <v>20</v>
      </c>
      <c r="G20" s="19" t="s">
        <v>69</v>
      </c>
      <c r="H20" s="22" t="s">
        <v>125</v>
      </c>
      <c r="I20" s="22" t="s">
        <v>125</v>
      </c>
      <c r="J20" s="22" t="s">
        <v>125</v>
      </c>
      <c r="K20" s="21"/>
      <c r="L20" s="20" t="s">
        <v>100</v>
      </c>
      <c r="M20" s="22" t="s">
        <v>144</v>
      </c>
      <c r="N20" s="21"/>
      <c r="O20" s="21"/>
      <c r="P20" s="29">
        <v>0</v>
      </c>
      <c r="Q20" s="21" t="str">
        <f>"0,0000"</f>
        <v>0,0000</v>
      </c>
      <c r="R20" s="19" t="s">
        <v>59</v>
      </c>
    </row>
    <row r="21" spans="1:18" x14ac:dyDescent="0.2">
      <c r="B21" s="5" t="s">
        <v>38</v>
      </c>
    </row>
    <row r="22" spans="1:18" ht="15" x14ac:dyDescent="0.2">
      <c r="A22" s="81" t="s">
        <v>246</v>
      </c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8" x14ac:dyDescent="0.2">
      <c r="A23" s="14" t="s">
        <v>16</v>
      </c>
      <c r="B23" s="11" t="s">
        <v>833</v>
      </c>
      <c r="C23" s="11" t="s">
        <v>834</v>
      </c>
      <c r="D23" s="11" t="s">
        <v>835</v>
      </c>
      <c r="E23" s="11" t="str">
        <f>"0,6483"</f>
        <v>0,6483</v>
      </c>
      <c r="F23" s="11" t="s">
        <v>20</v>
      </c>
      <c r="G23" s="11" t="s">
        <v>69</v>
      </c>
      <c r="H23" s="13" t="s">
        <v>99</v>
      </c>
      <c r="I23" s="12" t="s">
        <v>137</v>
      </c>
      <c r="J23" s="12" t="s">
        <v>123</v>
      </c>
      <c r="K23" s="14"/>
      <c r="L23" s="13" t="s">
        <v>414</v>
      </c>
      <c r="M23" s="13" t="s">
        <v>667</v>
      </c>
      <c r="N23" s="12" t="s">
        <v>678</v>
      </c>
      <c r="O23" s="14"/>
      <c r="P23" s="28" t="str">
        <f>"492,5"</f>
        <v>492,5</v>
      </c>
      <c r="Q23" s="14" t="str">
        <f>"319,2877"</f>
        <v>319,2877</v>
      </c>
      <c r="R23" s="11" t="s">
        <v>59</v>
      </c>
    </row>
    <row r="24" spans="1:18" x14ac:dyDescent="0.2">
      <c r="A24" s="17" t="s">
        <v>60</v>
      </c>
      <c r="B24" s="15" t="s">
        <v>436</v>
      </c>
      <c r="C24" s="15" t="s">
        <v>437</v>
      </c>
      <c r="D24" s="15" t="s">
        <v>438</v>
      </c>
      <c r="E24" s="15" t="str">
        <f>"0,6391"</f>
        <v>0,6391</v>
      </c>
      <c r="F24" s="15" t="s">
        <v>836</v>
      </c>
      <c r="G24" s="15" t="s">
        <v>439</v>
      </c>
      <c r="H24" s="16" t="s">
        <v>137</v>
      </c>
      <c r="I24" s="16" t="s">
        <v>123</v>
      </c>
      <c r="J24" s="16" t="s">
        <v>166</v>
      </c>
      <c r="K24" s="17"/>
      <c r="L24" s="16" t="s">
        <v>413</v>
      </c>
      <c r="M24" s="16" t="s">
        <v>440</v>
      </c>
      <c r="N24" s="18" t="s">
        <v>414</v>
      </c>
      <c r="O24" s="17"/>
      <c r="P24" s="32" t="str">
        <f>"480,0"</f>
        <v>480,0</v>
      </c>
      <c r="Q24" s="17" t="str">
        <f>"306,7680"</f>
        <v>306,7680</v>
      </c>
      <c r="R24" s="15" t="s">
        <v>59</v>
      </c>
    </row>
    <row r="25" spans="1:18" x14ac:dyDescent="0.2">
      <c r="A25" s="21" t="s">
        <v>16</v>
      </c>
      <c r="B25" s="19" t="s">
        <v>653</v>
      </c>
      <c r="C25" s="19" t="s">
        <v>654</v>
      </c>
      <c r="D25" s="19" t="s">
        <v>655</v>
      </c>
      <c r="E25" s="19" t="str">
        <f>"0,6528"</f>
        <v>0,6528</v>
      </c>
      <c r="F25" s="19" t="s">
        <v>836</v>
      </c>
      <c r="G25" s="19" t="s">
        <v>656</v>
      </c>
      <c r="H25" s="20" t="s">
        <v>136</v>
      </c>
      <c r="I25" s="22" t="s">
        <v>98</v>
      </c>
      <c r="J25" s="20" t="s">
        <v>98</v>
      </c>
      <c r="K25" s="21"/>
      <c r="L25" s="20" t="s">
        <v>154</v>
      </c>
      <c r="M25" s="20" t="s">
        <v>155</v>
      </c>
      <c r="N25" s="20" t="s">
        <v>413</v>
      </c>
      <c r="O25" s="20" t="s">
        <v>259</v>
      </c>
      <c r="P25" s="29" t="str">
        <f>"440,0"</f>
        <v>440,0</v>
      </c>
      <c r="Q25" s="21" t="str">
        <f>"340,9444"</f>
        <v>340,9444</v>
      </c>
      <c r="R25" s="19" t="s">
        <v>59</v>
      </c>
    </row>
    <row r="26" spans="1:18" x14ac:dyDescent="0.2">
      <c r="B26" s="5" t="s">
        <v>38</v>
      </c>
    </row>
    <row r="27" spans="1:18" ht="15" x14ac:dyDescent="0.2">
      <c r="A27" s="81" t="s">
        <v>295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8" x14ac:dyDescent="0.2">
      <c r="A28" s="10" t="s">
        <v>16</v>
      </c>
      <c r="B28" s="7" t="s">
        <v>837</v>
      </c>
      <c r="C28" s="7" t="s">
        <v>838</v>
      </c>
      <c r="D28" s="7" t="s">
        <v>671</v>
      </c>
      <c r="E28" s="7" t="str">
        <f>"0,6121"</f>
        <v>0,6121</v>
      </c>
      <c r="F28" s="7" t="s">
        <v>20</v>
      </c>
      <c r="G28" s="7" t="s">
        <v>69</v>
      </c>
      <c r="H28" s="8" t="s">
        <v>109</v>
      </c>
      <c r="I28" s="8" t="s">
        <v>266</v>
      </c>
      <c r="J28" s="8" t="s">
        <v>110</v>
      </c>
      <c r="K28" s="10"/>
      <c r="L28" s="8" t="s">
        <v>174</v>
      </c>
      <c r="M28" s="8" t="s">
        <v>154</v>
      </c>
      <c r="N28" s="8" t="s">
        <v>271</v>
      </c>
      <c r="O28" s="10"/>
      <c r="P28" s="31" t="str">
        <f>"417,5"</f>
        <v>417,5</v>
      </c>
      <c r="Q28" s="10" t="str">
        <f>"255,5518"</f>
        <v>255,5518</v>
      </c>
      <c r="R28" s="7" t="s">
        <v>59</v>
      </c>
    </row>
    <row r="29" spans="1:18" x14ac:dyDescent="0.2">
      <c r="B29" s="5" t="s">
        <v>38</v>
      </c>
    </row>
    <row r="30" spans="1:18" ht="15" x14ac:dyDescent="0.2">
      <c r="A30" s="81" t="s">
        <v>323</v>
      </c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8" x14ac:dyDescent="0.2">
      <c r="A31" s="14" t="s">
        <v>16</v>
      </c>
      <c r="B31" s="11" t="s">
        <v>698</v>
      </c>
      <c r="C31" s="11" t="s">
        <v>699</v>
      </c>
      <c r="D31" s="11" t="s">
        <v>700</v>
      </c>
      <c r="E31" s="11" t="str">
        <f>"0,5923"</f>
        <v>0,5923</v>
      </c>
      <c r="F31" s="11" t="s">
        <v>20</v>
      </c>
      <c r="G31" s="11" t="s">
        <v>701</v>
      </c>
      <c r="H31" s="13" t="s">
        <v>144</v>
      </c>
      <c r="I31" s="12" t="s">
        <v>173</v>
      </c>
      <c r="J31" s="14"/>
      <c r="K31" s="14"/>
      <c r="L31" s="13" t="s">
        <v>301</v>
      </c>
      <c r="M31" s="13" t="s">
        <v>259</v>
      </c>
      <c r="N31" s="12" t="s">
        <v>414</v>
      </c>
      <c r="O31" s="14"/>
      <c r="P31" s="28" t="str">
        <f>"500,0"</f>
        <v>500,0</v>
      </c>
      <c r="Q31" s="14" t="str">
        <f>"296,1500"</f>
        <v>296,1500</v>
      </c>
      <c r="R31" s="11" t="s">
        <v>704</v>
      </c>
    </row>
    <row r="32" spans="1:18" x14ac:dyDescent="0.2">
      <c r="A32" s="17" t="s">
        <v>60</v>
      </c>
      <c r="B32" s="15" t="s">
        <v>839</v>
      </c>
      <c r="C32" s="15" t="s">
        <v>840</v>
      </c>
      <c r="D32" s="15" t="s">
        <v>841</v>
      </c>
      <c r="E32" s="15" t="str">
        <f>"0,5935"</f>
        <v>0,5935</v>
      </c>
      <c r="F32" s="15" t="s">
        <v>20</v>
      </c>
      <c r="G32" s="15" t="s">
        <v>69</v>
      </c>
      <c r="H32" s="16" t="s">
        <v>123</v>
      </c>
      <c r="I32" s="16" t="s">
        <v>124</v>
      </c>
      <c r="J32" s="16" t="s">
        <v>160</v>
      </c>
      <c r="K32" s="17"/>
      <c r="L32" s="18" t="s">
        <v>413</v>
      </c>
      <c r="M32" s="18" t="s">
        <v>702</v>
      </c>
      <c r="N32" s="16" t="s">
        <v>702</v>
      </c>
      <c r="O32" s="17"/>
      <c r="P32" s="32" t="str">
        <f>"477,5"</f>
        <v>477,5</v>
      </c>
      <c r="Q32" s="17" t="str">
        <f>"283,3963"</f>
        <v>283,3963</v>
      </c>
      <c r="R32" s="15" t="s">
        <v>59</v>
      </c>
    </row>
    <row r="33" spans="1:18" x14ac:dyDescent="0.2">
      <c r="A33" s="17" t="s">
        <v>65</v>
      </c>
      <c r="B33" s="15" t="s">
        <v>842</v>
      </c>
      <c r="C33" s="15" t="s">
        <v>843</v>
      </c>
      <c r="D33" s="15" t="s">
        <v>844</v>
      </c>
      <c r="E33" s="15" t="str">
        <f>"0,5898"</f>
        <v>0,5898</v>
      </c>
      <c r="F33" s="15" t="s">
        <v>20</v>
      </c>
      <c r="G33" s="15" t="s">
        <v>845</v>
      </c>
      <c r="H33" s="16" t="s">
        <v>137</v>
      </c>
      <c r="I33" s="16" t="s">
        <v>152</v>
      </c>
      <c r="J33" s="16" t="s">
        <v>124</v>
      </c>
      <c r="K33" s="17"/>
      <c r="L33" s="16" t="s">
        <v>208</v>
      </c>
      <c r="M33" s="16" t="s">
        <v>175</v>
      </c>
      <c r="N33" s="16" t="s">
        <v>510</v>
      </c>
      <c r="O33" s="17"/>
      <c r="P33" s="32" t="str">
        <f>"452,5"</f>
        <v>452,5</v>
      </c>
      <c r="Q33" s="17" t="str">
        <f>"266,8845"</f>
        <v>266,8845</v>
      </c>
      <c r="R33" s="15" t="s">
        <v>59</v>
      </c>
    </row>
    <row r="34" spans="1:18" x14ac:dyDescent="0.2">
      <c r="A34" s="17" t="s">
        <v>182</v>
      </c>
      <c r="B34" s="15" t="s">
        <v>846</v>
      </c>
      <c r="C34" s="15" t="s">
        <v>847</v>
      </c>
      <c r="D34" s="15" t="s">
        <v>848</v>
      </c>
      <c r="E34" s="15" t="str">
        <f>"0,5972"</f>
        <v>0,5972</v>
      </c>
      <c r="F34" s="15" t="s">
        <v>20</v>
      </c>
      <c r="G34" s="15" t="s">
        <v>69</v>
      </c>
      <c r="H34" s="16" t="s">
        <v>83</v>
      </c>
      <c r="I34" s="18" t="s">
        <v>125</v>
      </c>
      <c r="J34" s="16" t="s">
        <v>125</v>
      </c>
      <c r="K34" s="17"/>
      <c r="L34" s="18" t="s">
        <v>166</v>
      </c>
      <c r="M34" s="16" t="s">
        <v>166</v>
      </c>
      <c r="N34" s="18" t="s">
        <v>160</v>
      </c>
      <c r="O34" s="17"/>
      <c r="P34" s="32" t="str">
        <f>"330,0"</f>
        <v>330,0</v>
      </c>
      <c r="Q34" s="17" t="str">
        <f>"197,0760"</f>
        <v>197,0760</v>
      </c>
      <c r="R34" s="15" t="s">
        <v>774</v>
      </c>
    </row>
    <row r="35" spans="1:18" x14ac:dyDescent="0.2">
      <c r="A35" s="21" t="s">
        <v>16</v>
      </c>
      <c r="B35" s="19" t="s">
        <v>330</v>
      </c>
      <c r="C35" s="19" t="s">
        <v>331</v>
      </c>
      <c r="D35" s="19" t="s">
        <v>332</v>
      </c>
      <c r="E35" s="19" t="str">
        <f>"0,5910"</f>
        <v>0,5910</v>
      </c>
      <c r="F35" s="19" t="s">
        <v>20</v>
      </c>
      <c r="G35" s="19" t="s">
        <v>279</v>
      </c>
      <c r="H35" s="20" t="s">
        <v>118</v>
      </c>
      <c r="I35" s="20" t="s">
        <v>136</v>
      </c>
      <c r="J35" s="20" t="s">
        <v>98</v>
      </c>
      <c r="K35" s="21"/>
      <c r="L35" s="20" t="s">
        <v>143</v>
      </c>
      <c r="M35" s="20" t="s">
        <v>144</v>
      </c>
      <c r="N35" s="22" t="s">
        <v>101</v>
      </c>
      <c r="O35" s="21"/>
      <c r="P35" s="29" t="str">
        <f>"370,0"</f>
        <v>370,0</v>
      </c>
      <c r="Q35" s="21" t="str">
        <f>"228,2915"</f>
        <v>228,2915</v>
      </c>
      <c r="R35" s="19" t="s">
        <v>59</v>
      </c>
    </row>
    <row r="36" spans="1:18" x14ac:dyDescent="0.2">
      <c r="B36" s="5" t="s">
        <v>38</v>
      </c>
    </row>
    <row r="37" spans="1:18" ht="15" x14ac:dyDescent="0.2">
      <c r="A37" s="81" t="s">
        <v>333</v>
      </c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8" x14ac:dyDescent="0.2">
      <c r="A38" s="10" t="s">
        <v>16</v>
      </c>
      <c r="B38" s="7" t="s">
        <v>849</v>
      </c>
      <c r="C38" s="7" t="s">
        <v>850</v>
      </c>
      <c r="D38" s="7" t="s">
        <v>851</v>
      </c>
      <c r="E38" s="7" t="str">
        <f>"0,5711"</f>
        <v>0,5711</v>
      </c>
      <c r="F38" s="7" t="s">
        <v>20</v>
      </c>
      <c r="G38" s="7" t="s">
        <v>852</v>
      </c>
      <c r="H38" s="8" t="s">
        <v>124</v>
      </c>
      <c r="I38" s="8" t="s">
        <v>853</v>
      </c>
      <c r="J38" s="9" t="s">
        <v>100</v>
      </c>
      <c r="K38" s="10"/>
      <c r="L38" s="8" t="s">
        <v>702</v>
      </c>
      <c r="M38" s="8" t="s">
        <v>703</v>
      </c>
      <c r="N38" s="8" t="s">
        <v>414</v>
      </c>
      <c r="O38" s="10"/>
      <c r="P38" s="31" t="str">
        <f>"497,5"</f>
        <v>497,5</v>
      </c>
      <c r="Q38" s="10" t="str">
        <f>"284,1222"</f>
        <v>284,1222</v>
      </c>
      <c r="R38" s="7" t="s">
        <v>59</v>
      </c>
    </row>
    <row r="39" spans="1:18" x14ac:dyDescent="0.2">
      <c r="B39" s="5" t="s">
        <v>38</v>
      </c>
    </row>
    <row r="40" spans="1:18" ht="15" x14ac:dyDescent="0.2">
      <c r="B40" s="5" t="s">
        <v>38</v>
      </c>
      <c r="F40" s="23"/>
    </row>
    <row r="41" spans="1:18" x14ac:dyDescent="0.2">
      <c r="B41" s="5" t="s">
        <v>38</v>
      </c>
    </row>
    <row r="42" spans="1:18" ht="18" x14ac:dyDescent="0.2">
      <c r="B42" s="24" t="s">
        <v>340</v>
      </c>
      <c r="C42" s="24"/>
      <c r="G42" s="3"/>
    </row>
    <row r="43" spans="1:18" ht="15" x14ac:dyDescent="0.2">
      <c r="B43" s="73" t="s">
        <v>341</v>
      </c>
      <c r="C43" s="73"/>
      <c r="G43" s="3"/>
    </row>
    <row r="44" spans="1:18" ht="14.25" x14ac:dyDescent="0.2">
      <c r="B44" s="25"/>
      <c r="C44" s="25" t="s">
        <v>358</v>
      </c>
      <c r="G44" s="3"/>
    </row>
    <row r="45" spans="1:18" ht="15" x14ac:dyDescent="0.2">
      <c r="B45" s="4" t="s">
        <v>343</v>
      </c>
      <c r="C45" s="4" t="s">
        <v>344</v>
      </c>
      <c r="D45" s="4" t="s">
        <v>345</v>
      </c>
      <c r="E45" s="4" t="s">
        <v>346</v>
      </c>
      <c r="F45" s="4" t="s">
        <v>347</v>
      </c>
      <c r="G45" s="3"/>
    </row>
    <row r="46" spans="1:18" x14ac:dyDescent="0.2">
      <c r="B46" s="5" t="s">
        <v>833</v>
      </c>
      <c r="C46" s="5" t="s">
        <v>358</v>
      </c>
      <c r="D46" s="6" t="s">
        <v>352</v>
      </c>
      <c r="E46" s="6" t="s">
        <v>854</v>
      </c>
      <c r="F46" s="6" t="s">
        <v>855</v>
      </c>
      <c r="G46" s="3"/>
    </row>
    <row r="47" spans="1:18" x14ac:dyDescent="0.2">
      <c r="B47" s="5" t="s">
        <v>827</v>
      </c>
      <c r="C47" s="5" t="s">
        <v>358</v>
      </c>
      <c r="D47" s="6" t="s">
        <v>355</v>
      </c>
      <c r="E47" s="6" t="s">
        <v>856</v>
      </c>
      <c r="F47" s="6" t="s">
        <v>857</v>
      </c>
      <c r="G47" s="3"/>
    </row>
    <row r="48" spans="1:18" x14ac:dyDescent="0.2">
      <c r="B48" s="5" t="s">
        <v>405</v>
      </c>
      <c r="C48" s="5" t="s">
        <v>358</v>
      </c>
      <c r="D48" s="6" t="s">
        <v>349</v>
      </c>
      <c r="E48" s="6" t="s">
        <v>858</v>
      </c>
      <c r="F48" s="6" t="s">
        <v>859</v>
      </c>
      <c r="G48" s="3"/>
    </row>
  </sheetData>
  <mergeCells count="22">
    <mergeCell ref="A37:Q37"/>
    <mergeCell ref="P3:P4"/>
    <mergeCell ref="Q3:Q4"/>
    <mergeCell ref="R3:R4"/>
    <mergeCell ref="A5:Q5"/>
    <mergeCell ref="A8:Q8"/>
    <mergeCell ref="A11:Q11"/>
    <mergeCell ref="B3:B4"/>
    <mergeCell ref="A14:Q14"/>
    <mergeCell ref="A17:Q17"/>
    <mergeCell ref="A22:Q22"/>
    <mergeCell ref="A27:Q27"/>
    <mergeCell ref="A30:Q30"/>
    <mergeCell ref="A1:R2"/>
    <mergeCell ref="A3:A4"/>
    <mergeCell ref="C3:C4"/>
    <mergeCell ref="D3:D4"/>
    <mergeCell ref="E3:E4"/>
    <mergeCell ref="F3:F4"/>
    <mergeCell ref="G3:G4"/>
    <mergeCell ref="H3:K3"/>
    <mergeCell ref="L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N195"/>
  <sheetViews>
    <sheetView topLeftCell="A112" workbookViewId="0">
      <selection activeCell="N134" sqref="N134"/>
    </sheetView>
  </sheetViews>
  <sheetFormatPr defaultColWidth="9.140625" defaultRowHeight="12.75" x14ac:dyDescent="0.2"/>
  <cols>
    <col min="1" max="1" width="7.42578125" style="6" bestFit="1" customWidth="1"/>
    <col min="2" max="2" width="23.42578125" style="5" bestFit="1" customWidth="1"/>
    <col min="3" max="3" width="27.85546875" style="5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0.42578125" style="5" bestFit="1" customWidth="1"/>
    <col min="8" max="10" width="5.42578125" style="6" bestFit="1" customWidth="1"/>
    <col min="11" max="11" width="4.85546875" style="6" bestFit="1" customWidth="1"/>
    <col min="12" max="12" width="11.28515625" style="30" bestFit="1" customWidth="1"/>
    <col min="13" max="13" width="8.42578125" style="6" bestFit="1" customWidth="1"/>
    <col min="14" max="14" width="32.42578125" style="5" bestFit="1" customWidth="1"/>
    <col min="15" max="16384" width="9.140625" style="3"/>
  </cols>
  <sheetData>
    <row r="1" spans="1:14" s="2" customFormat="1" ht="29.1" customHeight="1" x14ac:dyDescent="0.2">
      <c r="A1" s="83" t="s">
        <v>860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7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8"/>
      <c r="M4" s="93"/>
      <c r="N4" s="78"/>
    </row>
    <row r="5" spans="1:14" ht="15" x14ac:dyDescent="0.2">
      <c r="A5" s="79" t="s">
        <v>15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4" t="s">
        <v>16</v>
      </c>
      <c r="B6" s="11" t="s">
        <v>862</v>
      </c>
      <c r="C6" s="11" t="s">
        <v>863</v>
      </c>
      <c r="D6" s="11" t="s">
        <v>864</v>
      </c>
      <c r="E6" s="11" t="str">
        <f>"1,3387"</f>
        <v>1,3387</v>
      </c>
      <c r="F6" s="11" t="s">
        <v>20</v>
      </c>
      <c r="G6" s="11" t="s">
        <v>865</v>
      </c>
      <c r="H6" s="13" t="s">
        <v>55</v>
      </c>
      <c r="I6" s="13" t="s">
        <v>89</v>
      </c>
      <c r="J6" s="13" t="s">
        <v>34</v>
      </c>
      <c r="K6" s="14"/>
      <c r="L6" s="28" t="str">
        <f>"70,0"</f>
        <v>70,0</v>
      </c>
      <c r="M6" s="14" t="str">
        <f>"93,7090"</f>
        <v>93,7090</v>
      </c>
      <c r="N6" s="11" t="s">
        <v>866</v>
      </c>
    </row>
    <row r="7" spans="1:14" x14ac:dyDescent="0.2">
      <c r="A7" s="21" t="s">
        <v>60</v>
      </c>
      <c r="B7" s="19" t="s">
        <v>867</v>
      </c>
      <c r="C7" s="19" t="s">
        <v>868</v>
      </c>
      <c r="D7" s="19" t="s">
        <v>869</v>
      </c>
      <c r="E7" s="19" t="str">
        <f>"1,3244"</f>
        <v>1,3244</v>
      </c>
      <c r="F7" s="19" t="s">
        <v>20</v>
      </c>
      <c r="G7" s="19" t="s">
        <v>401</v>
      </c>
      <c r="H7" s="20" t="s">
        <v>56</v>
      </c>
      <c r="I7" s="20" t="s">
        <v>89</v>
      </c>
      <c r="J7" s="22" t="s">
        <v>22</v>
      </c>
      <c r="K7" s="21"/>
      <c r="L7" s="29" t="str">
        <f>"65,0"</f>
        <v>65,0</v>
      </c>
      <c r="M7" s="21" t="str">
        <f>"86,0860"</f>
        <v>86,0860</v>
      </c>
      <c r="N7" s="19" t="s">
        <v>870</v>
      </c>
    </row>
    <row r="8" spans="1:14" x14ac:dyDescent="0.2">
      <c r="B8" s="5" t="s">
        <v>38</v>
      </c>
    </row>
    <row r="9" spans="1:14" ht="15" x14ac:dyDescent="0.2">
      <c r="A9" s="81" t="s">
        <v>39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4" x14ac:dyDescent="0.2">
      <c r="A10" s="10" t="s">
        <v>16</v>
      </c>
      <c r="B10" s="7" t="s">
        <v>40</v>
      </c>
      <c r="C10" s="7" t="s">
        <v>41</v>
      </c>
      <c r="D10" s="7" t="s">
        <v>42</v>
      </c>
      <c r="E10" s="7" t="str">
        <f>"1,2730"</f>
        <v>1,2730</v>
      </c>
      <c r="F10" s="7" t="s">
        <v>20</v>
      </c>
      <c r="G10" s="7" t="s">
        <v>43</v>
      </c>
      <c r="H10" s="8" t="s">
        <v>44</v>
      </c>
      <c r="I10" s="9" t="s">
        <v>45</v>
      </c>
      <c r="J10" s="9" t="s">
        <v>45</v>
      </c>
      <c r="K10" s="10"/>
      <c r="L10" s="31" t="str">
        <f>"50,0"</f>
        <v>50,0</v>
      </c>
      <c r="M10" s="10" t="str">
        <f>"63,6500"</f>
        <v>63,6500</v>
      </c>
      <c r="N10" s="7" t="s">
        <v>47</v>
      </c>
    </row>
    <row r="11" spans="1:14" x14ac:dyDescent="0.2">
      <c r="B11" s="5" t="s">
        <v>38</v>
      </c>
    </row>
    <row r="12" spans="1:14" ht="15" x14ac:dyDescent="0.2">
      <c r="A12" s="81" t="s">
        <v>753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4" x14ac:dyDescent="0.2">
      <c r="A13" s="14" t="s">
        <v>16</v>
      </c>
      <c r="B13" s="11" t="s">
        <v>871</v>
      </c>
      <c r="C13" s="11" t="s">
        <v>872</v>
      </c>
      <c r="D13" s="11" t="s">
        <v>873</v>
      </c>
      <c r="E13" s="11" t="str">
        <f>"1,2054"</f>
        <v>1,2054</v>
      </c>
      <c r="F13" s="11" t="s">
        <v>20</v>
      </c>
      <c r="G13" s="11" t="s">
        <v>874</v>
      </c>
      <c r="H13" s="13" t="s">
        <v>22</v>
      </c>
      <c r="I13" s="13" t="s">
        <v>34</v>
      </c>
      <c r="J13" s="13" t="s">
        <v>379</v>
      </c>
      <c r="K13" s="14"/>
      <c r="L13" s="28" t="str">
        <f>"72,5"</f>
        <v>72,5</v>
      </c>
      <c r="M13" s="14" t="str">
        <f>"87,3915"</f>
        <v>87,3915</v>
      </c>
      <c r="N13" s="11" t="s">
        <v>875</v>
      </c>
    </row>
    <row r="14" spans="1:14" x14ac:dyDescent="0.2">
      <c r="A14" s="17" t="s">
        <v>60</v>
      </c>
      <c r="B14" s="15" t="s">
        <v>876</v>
      </c>
      <c r="C14" s="15" t="s">
        <v>877</v>
      </c>
      <c r="D14" s="15" t="s">
        <v>878</v>
      </c>
      <c r="E14" s="15" t="str">
        <f>"1,1816"</f>
        <v>1,1816</v>
      </c>
      <c r="F14" s="15" t="s">
        <v>20</v>
      </c>
      <c r="G14" s="15" t="s">
        <v>879</v>
      </c>
      <c r="H14" s="16" t="s">
        <v>45</v>
      </c>
      <c r="I14" s="16" t="s">
        <v>55</v>
      </c>
      <c r="J14" s="16" t="s">
        <v>56</v>
      </c>
      <c r="K14" s="17"/>
      <c r="L14" s="32" t="str">
        <f>"62,5"</f>
        <v>62,5</v>
      </c>
      <c r="M14" s="17" t="str">
        <f>"73,8500"</f>
        <v>73,8500</v>
      </c>
      <c r="N14" s="15" t="s">
        <v>880</v>
      </c>
    </row>
    <row r="15" spans="1:14" x14ac:dyDescent="0.2">
      <c r="A15" s="17" t="s">
        <v>65</v>
      </c>
      <c r="B15" s="15" t="s">
        <v>881</v>
      </c>
      <c r="C15" s="15" t="s">
        <v>882</v>
      </c>
      <c r="D15" s="15" t="s">
        <v>883</v>
      </c>
      <c r="E15" s="15" t="str">
        <f>"1,1766"</f>
        <v>1,1766</v>
      </c>
      <c r="F15" s="15" t="s">
        <v>20</v>
      </c>
      <c r="G15" s="15" t="s">
        <v>884</v>
      </c>
      <c r="H15" s="16" t="s">
        <v>27</v>
      </c>
      <c r="I15" s="16" t="s">
        <v>44</v>
      </c>
      <c r="J15" s="16" t="s">
        <v>70</v>
      </c>
      <c r="K15" s="17"/>
      <c r="L15" s="32" t="str">
        <f>"52,5"</f>
        <v>52,5</v>
      </c>
      <c r="M15" s="17" t="str">
        <f>"61,7715"</f>
        <v>61,7715</v>
      </c>
      <c r="N15" s="15" t="s">
        <v>885</v>
      </c>
    </row>
    <row r="16" spans="1:14" x14ac:dyDescent="0.2">
      <c r="A16" s="21" t="s">
        <v>182</v>
      </c>
      <c r="B16" s="19" t="s">
        <v>886</v>
      </c>
      <c r="C16" s="19" t="s">
        <v>887</v>
      </c>
      <c r="D16" s="19" t="s">
        <v>888</v>
      </c>
      <c r="E16" s="19" t="str">
        <f>"1,1916"</f>
        <v>1,1916</v>
      </c>
      <c r="F16" s="19" t="s">
        <v>20</v>
      </c>
      <c r="G16" s="19" t="s">
        <v>69</v>
      </c>
      <c r="H16" s="20" t="s">
        <v>26</v>
      </c>
      <c r="I16" s="22" t="s">
        <v>27</v>
      </c>
      <c r="J16" s="22" t="s">
        <v>27</v>
      </c>
      <c r="K16" s="21"/>
      <c r="L16" s="29" t="str">
        <f>"45,0"</f>
        <v>45,0</v>
      </c>
      <c r="M16" s="21" t="str">
        <f>"53,6220"</f>
        <v>53,6220</v>
      </c>
      <c r="N16" s="19" t="s">
        <v>59</v>
      </c>
    </row>
    <row r="17" spans="1:14" x14ac:dyDescent="0.2">
      <c r="B17" s="5" t="s">
        <v>38</v>
      </c>
    </row>
    <row r="18" spans="1:14" ht="15" x14ac:dyDescent="0.2">
      <c r="A18" s="81" t="s">
        <v>48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4" x14ac:dyDescent="0.2">
      <c r="A19" s="14" t="s">
        <v>186</v>
      </c>
      <c r="B19" s="11" t="s">
        <v>889</v>
      </c>
      <c r="C19" s="11" t="s">
        <v>890</v>
      </c>
      <c r="D19" s="11" t="s">
        <v>105</v>
      </c>
      <c r="E19" s="11" t="str">
        <f>"1,1207"</f>
        <v>1,1207</v>
      </c>
      <c r="F19" s="11" t="s">
        <v>20</v>
      </c>
      <c r="G19" s="11" t="s">
        <v>891</v>
      </c>
      <c r="H19" s="12" t="s">
        <v>23</v>
      </c>
      <c r="I19" s="12" t="s">
        <v>23</v>
      </c>
      <c r="J19" s="14"/>
      <c r="K19" s="14"/>
      <c r="L19" s="28">
        <v>0</v>
      </c>
      <c r="M19" s="14" t="str">
        <f>"0,0000"</f>
        <v>0,0000</v>
      </c>
      <c r="N19" s="11" t="s">
        <v>892</v>
      </c>
    </row>
    <row r="20" spans="1:14" x14ac:dyDescent="0.2">
      <c r="A20" s="17" t="s">
        <v>16</v>
      </c>
      <c r="B20" s="15" t="s">
        <v>893</v>
      </c>
      <c r="C20" s="15" t="s">
        <v>894</v>
      </c>
      <c r="D20" s="15" t="s">
        <v>895</v>
      </c>
      <c r="E20" s="15" t="str">
        <f>"1,1525"</f>
        <v>1,1525</v>
      </c>
      <c r="F20" s="15" t="s">
        <v>20</v>
      </c>
      <c r="G20" s="15" t="s">
        <v>874</v>
      </c>
      <c r="H20" s="16" t="s">
        <v>379</v>
      </c>
      <c r="I20" s="16" t="s">
        <v>373</v>
      </c>
      <c r="J20" s="18" t="s">
        <v>35</v>
      </c>
      <c r="K20" s="17"/>
      <c r="L20" s="32" t="str">
        <f>"77,5"</f>
        <v>77,5</v>
      </c>
      <c r="M20" s="17" t="str">
        <f>"89,3188"</f>
        <v>89,3188</v>
      </c>
      <c r="N20" s="15" t="s">
        <v>59</v>
      </c>
    </row>
    <row r="21" spans="1:14" x14ac:dyDescent="0.2">
      <c r="A21" s="17" t="s">
        <v>60</v>
      </c>
      <c r="B21" s="15" t="s">
        <v>896</v>
      </c>
      <c r="C21" s="15" t="s">
        <v>897</v>
      </c>
      <c r="D21" s="15" t="s">
        <v>68</v>
      </c>
      <c r="E21" s="15" t="str">
        <f>"1,1371"</f>
        <v>1,1371</v>
      </c>
      <c r="F21" s="15" t="s">
        <v>20</v>
      </c>
      <c r="G21" s="15" t="s">
        <v>898</v>
      </c>
      <c r="H21" s="16" t="s">
        <v>26</v>
      </c>
      <c r="I21" s="18" t="s">
        <v>27</v>
      </c>
      <c r="J21" s="18" t="s">
        <v>27</v>
      </c>
      <c r="K21" s="17"/>
      <c r="L21" s="32" t="str">
        <f>"45,0"</f>
        <v>45,0</v>
      </c>
      <c r="M21" s="17" t="str">
        <f>"51,1695"</f>
        <v>51,1695</v>
      </c>
      <c r="N21" s="15" t="s">
        <v>899</v>
      </c>
    </row>
    <row r="22" spans="1:14" x14ac:dyDescent="0.2">
      <c r="A22" s="21" t="s">
        <v>16</v>
      </c>
      <c r="B22" s="19" t="s">
        <v>900</v>
      </c>
      <c r="C22" s="19" t="s">
        <v>901</v>
      </c>
      <c r="D22" s="19" t="s">
        <v>51</v>
      </c>
      <c r="E22" s="19" t="str">
        <f>"1,1149"</f>
        <v>1,1149</v>
      </c>
      <c r="F22" s="19" t="s">
        <v>20</v>
      </c>
      <c r="G22" s="19" t="s">
        <v>401</v>
      </c>
      <c r="H22" s="20" t="s">
        <v>25</v>
      </c>
      <c r="I22" s="20" t="s">
        <v>26</v>
      </c>
      <c r="J22" s="22" t="s">
        <v>27</v>
      </c>
      <c r="K22" s="21"/>
      <c r="L22" s="29" t="str">
        <f>"45,0"</f>
        <v>45,0</v>
      </c>
      <c r="M22" s="21" t="str">
        <f>"50,4214"</f>
        <v>50,4214</v>
      </c>
      <c r="N22" s="19" t="s">
        <v>870</v>
      </c>
    </row>
    <row r="23" spans="1:14" x14ac:dyDescent="0.2">
      <c r="B23" s="5" t="s">
        <v>38</v>
      </c>
    </row>
    <row r="24" spans="1:14" ht="15" x14ac:dyDescent="0.2">
      <c r="A24" s="81" t="s">
        <v>73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4" x14ac:dyDescent="0.2">
      <c r="A25" s="10" t="s">
        <v>16</v>
      </c>
      <c r="B25" s="7" t="s">
        <v>902</v>
      </c>
      <c r="C25" s="7" t="s">
        <v>903</v>
      </c>
      <c r="D25" s="7" t="s">
        <v>114</v>
      </c>
      <c r="E25" s="7" t="str">
        <f>"1,0420"</f>
        <v>1,0420</v>
      </c>
      <c r="F25" s="7" t="s">
        <v>20</v>
      </c>
      <c r="G25" s="7" t="s">
        <v>874</v>
      </c>
      <c r="H25" s="8" t="s">
        <v>89</v>
      </c>
      <c r="I25" s="9" t="s">
        <v>22</v>
      </c>
      <c r="J25" s="8" t="s">
        <v>22</v>
      </c>
      <c r="K25" s="10"/>
      <c r="L25" s="31" t="str">
        <f>"67,5"</f>
        <v>67,5</v>
      </c>
      <c r="M25" s="10" t="str">
        <f>"70,3350"</f>
        <v>70,3350</v>
      </c>
      <c r="N25" s="7" t="s">
        <v>875</v>
      </c>
    </row>
    <row r="26" spans="1:14" x14ac:dyDescent="0.2">
      <c r="B26" s="5" t="s">
        <v>38</v>
      </c>
    </row>
    <row r="27" spans="1:14" ht="15" x14ac:dyDescent="0.2">
      <c r="A27" s="81" t="s">
        <v>131</v>
      </c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4" x14ac:dyDescent="0.2">
      <c r="A28" s="10" t="s">
        <v>16</v>
      </c>
      <c r="B28" s="7" t="s">
        <v>904</v>
      </c>
      <c r="C28" s="7" t="s">
        <v>905</v>
      </c>
      <c r="D28" s="7" t="s">
        <v>906</v>
      </c>
      <c r="E28" s="7" t="str">
        <f>"0,9806"</f>
        <v>0,9806</v>
      </c>
      <c r="F28" s="7" t="s">
        <v>20</v>
      </c>
      <c r="G28" s="7" t="s">
        <v>69</v>
      </c>
      <c r="H28" s="8" t="s">
        <v>37</v>
      </c>
      <c r="I28" s="9" t="s">
        <v>378</v>
      </c>
      <c r="J28" s="9" t="s">
        <v>378</v>
      </c>
      <c r="K28" s="10"/>
      <c r="L28" s="31" t="str">
        <f>"105,0"</f>
        <v>105,0</v>
      </c>
      <c r="M28" s="10" t="str">
        <f>"102,9630"</f>
        <v>102,9630</v>
      </c>
      <c r="N28" s="7" t="s">
        <v>59</v>
      </c>
    </row>
    <row r="29" spans="1:14" x14ac:dyDescent="0.2">
      <c r="B29" s="5" t="s">
        <v>38</v>
      </c>
    </row>
    <row r="30" spans="1:14" ht="15" x14ac:dyDescent="0.2">
      <c r="A30" s="81" t="s">
        <v>192</v>
      </c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4" x14ac:dyDescent="0.2">
      <c r="A31" s="14" t="s">
        <v>16</v>
      </c>
      <c r="B31" s="11" t="s">
        <v>907</v>
      </c>
      <c r="C31" s="11" t="s">
        <v>908</v>
      </c>
      <c r="D31" s="11" t="s">
        <v>909</v>
      </c>
      <c r="E31" s="11" t="str">
        <f>"0,9444"</f>
        <v>0,9444</v>
      </c>
      <c r="F31" s="11" t="s">
        <v>20</v>
      </c>
      <c r="G31" s="11" t="s">
        <v>69</v>
      </c>
      <c r="H31" s="13" t="s">
        <v>55</v>
      </c>
      <c r="I31" s="13" t="s">
        <v>89</v>
      </c>
      <c r="J31" s="12" t="s">
        <v>34</v>
      </c>
      <c r="K31" s="14"/>
      <c r="L31" s="28" t="str">
        <f>"65,0"</f>
        <v>65,0</v>
      </c>
      <c r="M31" s="14" t="str">
        <f>"61,3860"</f>
        <v>61,3860</v>
      </c>
      <c r="N31" s="11" t="s">
        <v>910</v>
      </c>
    </row>
    <row r="32" spans="1:14" x14ac:dyDescent="0.2">
      <c r="A32" s="17" t="s">
        <v>16</v>
      </c>
      <c r="B32" s="15" t="s">
        <v>911</v>
      </c>
      <c r="C32" s="15" t="s">
        <v>912</v>
      </c>
      <c r="D32" s="15" t="s">
        <v>828</v>
      </c>
      <c r="E32" s="15" t="str">
        <f>"0,9000"</f>
        <v>0,9000</v>
      </c>
      <c r="F32" s="15" t="s">
        <v>20</v>
      </c>
      <c r="G32" s="15" t="s">
        <v>69</v>
      </c>
      <c r="H32" s="16" t="s">
        <v>55</v>
      </c>
      <c r="I32" s="16" t="s">
        <v>56</v>
      </c>
      <c r="J32" s="16" t="s">
        <v>89</v>
      </c>
      <c r="K32" s="17"/>
      <c r="L32" s="32" t="str">
        <f>"65,0"</f>
        <v>65,0</v>
      </c>
      <c r="M32" s="17" t="str">
        <f>"58,5000"</f>
        <v>58,5000</v>
      </c>
      <c r="N32" s="15" t="s">
        <v>913</v>
      </c>
    </row>
    <row r="33" spans="1:14" x14ac:dyDescent="0.2">
      <c r="A33" s="21" t="s">
        <v>60</v>
      </c>
      <c r="B33" s="19" t="s">
        <v>914</v>
      </c>
      <c r="C33" s="19" t="s">
        <v>915</v>
      </c>
      <c r="D33" s="19" t="s">
        <v>772</v>
      </c>
      <c r="E33" s="19" t="str">
        <f>"0,9256"</f>
        <v>0,9256</v>
      </c>
      <c r="F33" s="19" t="s">
        <v>20</v>
      </c>
      <c r="G33" s="19" t="s">
        <v>761</v>
      </c>
      <c r="H33" s="20" t="s">
        <v>45</v>
      </c>
      <c r="I33" s="20" t="s">
        <v>55</v>
      </c>
      <c r="J33" s="20" t="s">
        <v>56</v>
      </c>
      <c r="K33" s="21"/>
      <c r="L33" s="29" t="str">
        <f>"62,5"</f>
        <v>62,5</v>
      </c>
      <c r="M33" s="21" t="str">
        <f>"57,8500"</f>
        <v>57,8500</v>
      </c>
      <c r="N33" s="19" t="s">
        <v>762</v>
      </c>
    </row>
    <row r="34" spans="1:14" x14ac:dyDescent="0.2">
      <c r="B34" s="5" t="s">
        <v>38</v>
      </c>
    </row>
    <row r="35" spans="1:14" ht="15" x14ac:dyDescent="0.2">
      <c r="A35" s="81" t="s">
        <v>39</v>
      </c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4" x14ac:dyDescent="0.2">
      <c r="A36" s="10" t="s">
        <v>16</v>
      </c>
      <c r="B36" s="7" t="s">
        <v>916</v>
      </c>
      <c r="C36" s="7" t="s">
        <v>917</v>
      </c>
      <c r="D36" s="7" t="s">
        <v>918</v>
      </c>
      <c r="E36" s="7" t="str">
        <f>"1,0254"</f>
        <v>1,0254</v>
      </c>
      <c r="F36" s="7" t="s">
        <v>20</v>
      </c>
      <c r="G36" s="7" t="s">
        <v>919</v>
      </c>
      <c r="H36" s="8" t="s">
        <v>386</v>
      </c>
      <c r="I36" s="9" t="s">
        <v>107</v>
      </c>
      <c r="J36" s="8" t="s">
        <v>107</v>
      </c>
      <c r="K36" s="10"/>
      <c r="L36" s="31" t="str">
        <f>"115,0"</f>
        <v>115,0</v>
      </c>
      <c r="M36" s="10" t="str">
        <f>"117,9210"</f>
        <v>117,9210</v>
      </c>
      <c r="N36" s="7" t="s">
        <v>59</v>
      </c>
    </row>
    <row r="37" spans="1:14" x14ac:dyDescent="0.2">
      <c r="B37" s="5" t="s">
        <v>38</v>
      </c>
    </row>
    <row r="38" spans="1:14" ht="15" x14ac:dyDescent="0.2">
      <c r="A38" s="81" t="s">
        <v>753</v>
      </c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1:14" x14ac:dyDescent="0.2">
      <c r="A39" s="10" t="s">
        <v>16</v>
      </c>
      <c r="B39" s="7" t="s">
        <v>920</v>
      </c>
      <c r="C39" s="7" t="s">
        <v>921</v>
      </c>
      <c r="D39" s="7" t="s">
        <v>922</v>
      </c>
      <c r="E39" s="7" t="str">
        <f>"0,9300"</f>
        <v>0,9300</v>
      </c>
      <c r="F39" s="7" t="s">
        <v>20</v>
      </c>
      <c r="G39" s="7" t="s">
        <v>69</v>
      </c>
      <c r="H39" s="8" t="s">
        <v>55</v>
      </c>
      <c r="I39" s="9" t="s">
        <v>56</v>
      </c>
      <c r="J39" s="9" t="s">
        <v>56</v>
      </c>
      <c r="K39" s="10"/>
      <c r="L39" s="31" t="str">
        <f>"60,0"</f>
        <v>60,0</v>
      </c>
      <c r="M39" s="10" t="str">
        <f>"55,8000"</f>
        <v>55,8000</v>
      </c>
      <c r="N39" s="7" t="s">
        <v>923</v>
      </c>
    </row>
    <row r="40" spans="1:14" x14ac:dyDescent="0.2">
      <c r="B40" s="5" t="s">
        <v>38</v>
      </c>
    </row>
    <row r="41" spans="1:14" ht="15" x14ac:dyDescent="0.2">
      <c r="A41" s="81" t="s">
        <v>753</v>
      </c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4" x14ac:dyDescent="0.2">
      <c r="A42" s="10" t="s">
        <v>16</v>
      </c>
      <c r="B42" s="7" t="s">
        <v>924</v>
      </c>
      <c r="C42" s="7" t="s">
        <v>925</v>
      </c>
      <c r="D42" s="7" t="s">
        <v>926</v>
      </c>
      <c r="E42" s="7" t="str">
        <f>"0,9200"</f>
        <v>0,9200</v>
      </c>
      <c r="F42" s="7" t="s">
        <v>20</v>
      </c>
      <c r="G42" s="7" t="s">
        <v>69</v>
      </c>
      <c r="H42" s="8" t="s">
        <v>54</v>
      </c>
      <c r="I42" s="8" t="s">
        <v>56</v>
      </c>
      <c r="J42" s="9" t="s">
        <v>89</v>
      </c>
      <c r="K42" s="10"/>
      <c r="L42" s="31" t="str">
        <f>"62,5"</f>
        <v>62,5</v>
      </c>
      <c r="M42" s="10" t="str">
        <f>"57,5000"</f>
        <v>57,5000</v>
      </c>
      <c r="N42" s="7" t="s">
        <v>927</v>
      </c>
    </row>
    <row r="43" spans="1:14" x14ac:dyDescent="0.2">
      <c r="B43" s="5" t="s">
        <v>38</v>
      </c>
    </row>
    <row r="44" spans="1:14" ht="15" x14ac:dyDescent="0.2">
      <c r="A44" s="81" t="s">
        <v>48</v>
      </c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4" x14ac:dyDescent="0.2">
      <c r="A45" s="10" t="s">
        <v>16</v>
      </c>
      <c r="B45" s="7" t="s">
        <v>928</v>
      </c>
      <c r="C45" s="7" t="s">
        <v>929</v>
      </c>
      <c r="D45" s="7" t="s">
        <v>930</v>
      </c>
      <c r="E45" s="7" t="str">
        <f>"0,8717"</f>
        <v>0,8717</v>
      </c>
      <c r="F45" s="7" t="s">
        <v>20</v>
      </c>
      <c r="G45" s="7" t="s">
        <v>874</v>
      </c>
      <c r="H45" s="8" t="s">
        <v>37</v>
      </c>
      <c r="I45" s="8" t="s">
        <v>82</v>
      </c>
      <c r="J45" s="8" t="s">
        <v>386</v>
      </c>
      <c r="K45" s="10"/>
      <c r="L45" s="31" t="str">
        <f>"112,5"</f>
        <v>112,5</v>
      </c>
      <c r="M45" s="10" t="str">
        <f>"98,0662"</f>
        <v>98,0662</v>
      </c>
      <c r="N45" s="7" t="s">
        <v>931</v>
      </c>
    </row>
    <row r="46" spans="1:14" x14ac:dyDescent="0.2">
      <c r="B46" s="5" t="s">
        <v>38</v>
      </c>
    </row>
    <row r="47" spans="1:14" ht="15" x14ac:dyDescent="0.2">
      <c r="A47" s="81" t="s">
        <v>73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4" x14ac:dyDescent="0.2">
      <c r="A48" s="14" t="s">
        <v>16</v>
      </c>
      <c r="B48" s="11" t="s">
        <v>932</v>
      </c>
      <c r="C48" s="11" t="s">
        <v>933</v>
      </c>
      <c r="D48" s="11" t="s">
        <v>128</v>
      </c>
      <c r="E48" s="11" t="str">
        <f>"0,7911"</f>
        <v>0,7911</v>
      </c>
      <c r="F48" s="11" t="s">
        <v>20</v>
      </c>
      <c r="G48" s="11" t="s">
        <v>874</v>
      </c>
      <c r="H48" s="13" t="s">
        <v>23</v>
      </c>
      <c r="I48" s="13" t="s">
        <v>35</v>
      </c>
      <c r="J48" s="12" t="s">
        <v>24</v>
      </c>
      <c r="K48" s="14"/>
      <c r="L48" s="28" t="str">
        <f>"80,0"</f>
        <v>80,0</v>
      </c>
      <c r="M48" s="14" t="str">
        <f>"63,2880"</f>
        <v>63,2880</v>
      </c>
      <c r="N48" s="11" t="s">
        <v>934</v>
      </c>
    </row>
    <row r="49" spans="1:14" x14ac:dyDescent="0.2">
      <c r="A49" s="17" t="s">
        <v>16</v>
      </c>
      <c r="B49" s="15" t="s">
        <v>935</v>
      </c>
      <c r="C49" s="15" t="s">
        <v>936</v>
      </c>
      <c r="D49" s="15" t="s">
        <v>937</v>
      </c>
      <c r="E49" s="15" t="str">
        <f>"0,7832"</f>
        <v>0,7832</v>
      </c>
      <c r="F49" s="15" t="s">
        <v>20</v>
      </c>
      <c r="G49" s="15" t="s">
        <v>401</v>
      </c>
      <c r="H49" s="16" t="s">
        <v>46</v>
      </c>
      <c r="I49" s="16" t="s">
        <v>385</v>
      </c>
      <c r="J49" s="18" t="s">
        <v>37</v>
      </c>
      <c r="K49" s="17"/>
      <c r="L49" s="32" t="str">
        <f>"102,5"</f>
        <v>102,5</v>
      </c>
      <c r="M49" s="17" t="str">
        <f>"80,2780"</f>
        <v>80,2780</v>
      </c>
      <c r="N49" s="15" t="s">
        <v>487</v>
      </c>
    </row>
    <row r="50" spans="1:14" x14ac:dyDescent="0.2">
      <c r="A50" s="17" t="s">
        <v>16</v>
      </c>
      <c r="B50" s="15" t="s">
        <v>938</v>
      </c>
      <c r="C50" s="15" t="s">
        <v>939</v>
      </c>
      <c r="D50" s="15" t="s">
        <v>937</v>
      </c>
      <c r="E50" s="15" t="str">
        <f>"0,7832"</f>
        <v>0,7832</v>
      </c>
      <c r="F50" s="15" t="s">
        <v>20</v>
      </c>
      <c r="G50" s="15" t="s">
        <v>69</v>
      </c>
      <c r="H50" s="16" t="s">
        <v>378</v>
      </c>
      <c r="I50" s="18" t="s">
        <v>88</v>
      </c>
      <c r="J50" s="18" t="s">
        <v>88</v>
      </c>
      <c r="K50" s="17"/>
      <c r="L50" s="32" t="str">
        <f>"107,5"</f>
        <v>107,5</v>
      </c>
      <c r="M50" s="17" t="str">
        <f>"84,1940"</f>
        <v>84,1940</v>
      </c>
      <c r="N50" s="15" t="s">
        <v>59</v>
      </c>
    </row>
    <row r="51" spans="1:14" x14ac:dyDescent="0.2">
      <c r="A51" s="17" t="s">
        <v>60</v>
      </c>
      <c r="B51" s="15" t="s">
        <v>940</v>
      </c>
      <c r="C51" s="15" t="s">
        <v>941</v>
      </c>
      <c r="D51" s="15" t="s">
        <v>942</v>
      </c>
      <c r="E51" s="15" t="str">
        <f>"0,7813"</f>
        <v>0,7813</v>
      </c>
      <c r="F51" s="15" t="s">
        <v>20</v>
      </c>
      <c r="G51" s="15" t="s">
        <v>943</v>
      </c>
      <c r="H51" s="18" t="s">
        <v>385</v>
      </c>
      <c r="I51" s="16" t="s">
        <v>378</v>
      </c>
      <c r="J51" s="18" t="s">
        <v>107</v>
      </c>
      <c r="K51" s="17"/>
      <c r="L51" s="32" t="str">
        <f>"107,5"</f>
        <v>107,5</v>
      </c>
      <c r="M51" s="17" t="str">
        <f>"83,9898"</f>
        <v>83,9898</v>
      </c>
      <c r="N51" s="15" t="s">
        <v>59</v>
      </c>
    </row>
    <row r="52" spans="1:14" x14ac:dyDescent="0.2">
      <c r="A52" s="17" t="s">
        <v>65</v>
      </c>
      <c r="B52" s="15" t="s">
        <v>944</v>
      </c>
      <c r="C52" s="15" t="s">
        <v>945</v>
      </c>
      <c r="D52" s="15" t="s">
        <v>765</v>
      </c>
      <c r="E52" s="15" t="str">
        <f>"0,7729"</f>
        <v>0,7729</v>
      </c>
      <c r="F52" s="15" t="s">
        <v>20</v>
      </c>
      <c r="G52" s="15" t="s">
        <v>761</v>
      </c>
      <c r="H52" s="16" t="s">
        <v>30</v>
      </c>
      <c r="I52" s="18" t="s">
        <v>378</v>
      </c>
      <c r="J52" s="18" t="s">
        <v>378</v>
      </c>
      <c r="K52" s="17"/>
      <c r="L52" s="32" t="str">
        <f>"100,0"</f>
        <v>100,0</v>
      </c>
      <c r="M52" s="17" t="str">
        <f>"77,2900"</f>
        <v>77,2900</v>
      </c>
      <c r="N52" s="15" t="s">
        <v>59</v>
      </c>
    </row>
    <row r="53" spans="1:14" x14ac:dyDescent="0.2">
      <c r="A53" s="17" t="s">
        <v>16</v>
      </c>
      <c r="B53" s="15" t="s">
        <v>946</v>
      </c>
      <c r="C53" s="15" t="s">
        <v>947</v>
      </c>
      <c r="D53" s="15" t="s">
        <v>565</v>
      </c>
      <c r="E53" s="15" t="str">
        <f>"0,7785"</f>
        <v>0,7785</v>
      </c>
      <c r="F53" s="15" t="s">
        <v>20</v>
      </c>
      <c r="G53" s="15" t="s">
        <v>948</v>
      </c>
      <c r="H53" s="16" t="s">
        <v>116</v>
      </c>
      <c r="I53" s="16" t="s">
        <v>90</v>
      </c>
      <c r="J53" s="18" t="s">
        <v>130</v>
      </c>
      <c r="K53" s="17"/>
      <c r="L53" s="32" t="str">
        <f>"125,0"</f>
        <v>125,0</v>
      </c>
      <c r="M53" s="17" t="str">
        <f>"97,3125"</f>
        <v>97,3125</v>
      </c>
      <c r="N53" s="15" t="s">
        <v>59</v>
      </c>
    </row>
    <row r="54" spans="1:14" x14ac:dyDescent="0.2">
      <c r="A54" s="17" t="s">
        <v>60</v>
      </c>
      <c r="B54" s="15" t="s">
        <v>949</v>
      </c>
      <c r="C54" s="15" t="s">
        <v>950</v>
      </c>
      <c r="D54" s="15" t="s">
        <v>400</v>
      </c>
      <c r="E54" s="15" t="str">
        <f>"0,7852"</f>
        <v>0,7852</v>
      </c>
      <c r="F54" s="15" t="s">
        <v>20</v>
      </c>
      <c r="G54" s="15" t="s">
        <v>69</v>
      </c>
      <c r="H54" s="16" t="s">
        <v>82</v>
      </c>
      <c r="I54" s="18" t="s">
        <v>90</v>
      </c>
      <c r="J54" s="18" t="s">
        <v>90</v>
      </c>
      <c r="K54" s="17"/>
      <c r="L54" s="32" t="str">
        <f>"110,0"</f>
        <v>110,0</v>
      </c>
      <c r="M54" s="17" t="str">
        <f>"86,3720"</f>
        <v>86,3720</v>
      </c>
      <c r="N54" s="15" t="s">
        <v>59</v>
      </c>
    </row>
    <row r="55" spans="1:14" x14ac:dyDescent="0.2">
      <c r="A55" s="17" t="s">
        <v>65</v>
      </c>
      <c r="B55" s="15" t="s">
        <v>951</v>
      </c>
      <c r="C55" s="15" t="s">
        <v>952</v>
      </c>
      <c r="D55" s="15" t="s">
        <v>953</v>
      </c>
      <c r="E55" s="15" t="str">
        <f>"0,7738"</f>
        <v>0,7738</v>
      </c>
      <c r="F55" s="15" t="s">
        <v>20</v>
      </c>
      <c r="G55" s="15" t="s">
        <v>954</v>
      </c>
      <c r="H55" s="16" t="s">
        <v>82</v>
      </c>
      <c r="I55" s="18" t="s">
        <v>116</v>
      </c>
      <c r="J55" s="18" t="s">
        <v>116</v>
      </c>
      <c r="K55" s="17"/>
      <c r="L55" s="32" t="str">
        <f>"110,0"</f>
        <v>110,0</v>
      </c>
      <c r="M55" s="17" t="str">
        <f>"85,1180"</f>
        <v>85,1180</v>
      </c>
      <c r="N55" s="15" t="s">
        <v>59</v>
      </c>
    </row>
    <row r="56" spans="1:14" x14ac:dyDescent="0.2">
      <c r="A56" s="21" t="s">
        <v>16</v>
      </c>
      <c r="B56" s="19" t="s">
        <v>763</v>
      </c>
      <c r="C56" s="19" t="s">
        <v>764</v>
      </c>
      <c r="D56" s="19" t="s">
        <v>765</v>
      </c>
      <c r="E56" s="19" t="str">
        <f>"0,7729"</f>
        <v>0,7729</v>
      </c>
      <c r="F56" s="19" t="s">
        <v>20</v>
      </c>
      <c r="G56" s="19" t="s">
        <v>69</v>
      </c>
      <c r="H56" s="20" t="s">
        <v>82</v>
      </c>
      <c r="I56" s="20" t="s">
        <v>88</v>
      </c>
      <c r="J56" s="20" t="s">
        <v>116</v>
      </c>
      <c r="K56" s="21"/>
      <c r="L56" s="29" t="str">
        <f>"120,0"</f>
        <v>120,0</v>
      </c>
      <c r="M56" s="21" t="str">
        <f>"94,0465"</f>
        <v>94,0465</v>
      </c>
      <c r="N56" s="19" t="s">
        <v>59</v>
      </c>
    </row>
    <row r="57" spans="1:14" x14ac:dyDescent="0.2">
      <c r="B57" s="5" t="s">
        <v>38</v>
      </c>
    </row>
    <row r="58" spans="1:14" ht="15" x14ac:dyDescent="0.2">
      <c r="A58" s="81" t="s">
        <v>131</v>
      </c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4" x14ac:dyDescent="0.2">
      <c r="A59" s="14" t="s">
        <v>16</v>
      </c>
      <c r="B59" s="11" t="s">
        <v>955</v>
      </c>
      <c r="C59" s="11" t="s">
        <v>956</v>
      </c>
      <c r="D59" s="11" t="s">
        <v>574</v>
      </c>
      <c r="E59" s="11" t="str">
        <f>"0,7271"</f>
        <v>0,7271</v>
      </c>
      <c r="F59" s="11" t="s">
        <v>20</v>
      </c>
      <c r="G59" s="11" t="s">
        <v>957</v>
      </c>
      <c r="H59" s="13" t="s">
        <v>90</v>
      </c>
      <c r="I59" s="13" t="s">
        <v>83</v>
      </c>
      <c r="J59" s="13" t="s">
        <v>109</v>
      </c>
      <c r="K59" s="14"/>
      <c r="L59" s="28" t="str">
        <f>"155,0"</f>
        <v>155,0</v>
      </c>
      <c r="M59" s="14" t="str">
        <f>"112,7005"</f>
        <v>112,7005</v>
      </c>
      <c r="N59" s="11" t="s">
        <v>59</v>
      </c>
    </row>
    <row r="60" spans="1:14" x14ac:dyDescent="0.2">
      <c r="A60" s="17" t="s">
        <v>60</v>
      </c>
      <c r="B60" s="15" t="s">
        <v>958</v>
      </c>
      <c r="C60" s="15" t="s">
        <v>959</v>
      </c>
      <c r="D60" s="15" t="s">
        <v>960</v>
      </c>
      <c r="E60" s="15" t="str">
        <f>"0,7390"</f>
        <v>0,7390</v>
      </c>
      <c r="F60" s="15" t="s">
        <v>20</v>
      </c>
      <c r="G60" s="15" t="s">
        <v>579</v>
      </c>
      <c r="H60" s="18" t="s">
        <v>90</v>
      </c>
      <c r="I60" s="16" t="s">
        <v>90</v>
      </c>
      <c r="J60" s="18" t="s">
        <v>58</v>
      </c>
      <c r="K60" s="17"/>
      <c r="L60" s="32" t="str">
        <f>"125,0"</f>
        <v>125,0</v>
      </c>
      <c r="M60" s="17" t="str">
        <f>"92,3750"</f>
        <v>92,3750</v>
      </c>
      <c r="N60" s="15" t="s">
        <v>961</v>
      </c>
    </row>
    <row r="61" spans="1:14" x14ac:dyDescent="0.2">
      <c r="A61" s="17" t="s">
        <v>65</v>
      </c>
      <c r="B61" s="15" t="s">
        <v>962</v>
      </c>
      <c r="C61" s="15" t="s">
        <v>963</v>
      </c>
      <c r="D61" s="15" t="s">
        <v>569</v>
      </c>
      <c r="E61" s="15" t="str">
        <f>"0,7469"</f>
        <v>0,7469</v>
      </c>
      <c r="F61" s="15" t="s">
        <v>20</v>
      </c>
      <c r="G61" s="15" t="s">
        <v>401</v>
      </c>
      <c r="H61" s="16" t="s">
        <v>53</v>
      </c>
      <c r="I61" s="16" t="s">
        <v>29</v>
      </c>
      <c r="J61" s="16" t="s">
        <v>30</v>
      </c>
      <c r="K61" s="17"/>
      <c r="L61" s="32" t="str">
        <f>"100,0"</f>
        <v>100,0</v>
      </c>
      <c r="M61" s="17" t="str">
        <f>"74,6900"</f>
        <v>74,6900</v>
      </c>
      <c r="N61" s="15" t="s">
        <v>870</v>
      </c>
    </row>
    <row r="62" spans="1:14" x14ac:dyDescent="0.2">
      <c r="A62" s="17" t="s">
        <v>186</v>
      </c>
      <c r="B62" s="15" t="s">
        <v>964</v>
      </c>
      <c r="C62" s="15" t="s">
        <v>965</v>
      </c>
      <c r="D62" s="15" t="s">
        <v>966</v>
      </c>
      <c r="E62" s="15" t="str">
        <f>"0,7285"</f>
        <v>0,7285</v>
      </c>
      <c r="F62" s="15" t="s">
        <v>20</v>
      </c>
      <c r="G62" s="15" t="s">
        <v>967</v>
      </c>
      <c r="H62" s="18" t="s">
        <v>82</v>
      </c>
      <c r="I62" s="18" t="s">
        <v>88</v>
      </c>
      <c r="J62" s="18" t="s">
        <v>88</v>
      </c>
      <c r="K62" s="17"/>
      <c r="L62" s="32">
        <v>0</v>
      </c>
      <c r="M62" s="17" t="str">
        <f>"0,0000"</f>
        <v>0,0000</v>
      </c>
      <c r="N62" s="15" t="s">
        <v>59</v>
      </c>
    </row>
    <row r="63" spans="1:14" x14ac:dyDescent="0.2">
      <c r="A63" s="17" t="s">
        <v>16</v>
      </c>
      <c r="B63" s="15" t="s">
        <v>968</v>
      </c>
      <c r="C63" s="15" t="s">
        <v>969</v>
      </c>
      <c r="D63" s="15" t="s">
        <v>970</v>
      </c>
      <c r="E63" s="15" t="str">
        <f>"0,7337"</f>
        <v>0,7337</v>
      </c>
      <c r="F63" s="15" t="s">
        <v>20</v>
      </c>
      <c r="G63" s="15" t="s">
        <v>69</v>
      </c>
      <c r="H63" s="16" t="s">
        <v>99</v>
      </c>
      <c r="I63" s="16" t="s">
        <v>229</v>
      </c>
      <c r="J63" s="16" t="s">
        <v>152</v>
      </c>
      <c r="K63" s="17"/>
      <c r="L63" s="32" t="str">
        <f>"182,5"</f>
        <v>182,5</v>
      </c>
      <c r="M63" s="17" t="str">
        <f>"133,9002"</f>
        <v>133,9002</v>
      </c>
      <c r="N63" s="15" t="s">
        <v>899</v>
      </c>
    </row>
    <row r="64" spans="1:14" x14ac:dyDescent="0.2">
      <c r="A64" s="17" t="s">
        <v>60</v>
      </c>
      <c r="B64" s="15" t="s">
        <v>971</v>
      </c>
      <c r="C64" s="15" t="s">
        <v>972</v>
      </c>
      <c r="D64" s="15" t="s">
        <v>973</v>
      </c>
      <c r="E64" s="15" t="str">
        <f>"0,7406"</f>
        <v>0,7406</v>
      </c>
      <c r="F64" s="15" t="s">
        <v>20</v>
      </c>
      <c r="G64" s="15" t="s">
        <v>974</v>
      </c>
      <c r="H64" s="16" t="s">
        <v>125</v>
      </c>
      <c r="I64" s="16" t="s">
        <v>136</v>
      </c>
      <c r="J64" s="18" t="s">
        <v>109</v>
      </c>
      <c r="K64" s="17"/>
      <c r="L64" s="32" t="str">
        <f>"150,0"</f>
        <v>150,0</v>
      </c>
      <c r="M64" s="17" t="str">
        <f>"111,0900"</f>
        <v>111,0900</v>
      </c>
      <c r="N64" s="15" t="s">
        <v>59</v>
      </c>
    </row>
    <row r="65" spans="1:14" x14ac:dyDescent="0.2">
      <c r="A65" s="17" t="s">
        <v>65</v>
      </c>
      <c r="B65" s="15" t="s">
        <v>975</v>
      </c>
      <c r="C65" s="15" t="s">
        <v>976</v>
      </c>
      <c r="D65" s="15" t="s">
        <v>977</v>
      </c>
      <c r="E65" s="15" t="str">
        <f>"0,7200"</f>
        <v>0,7200</v>
      </c>
      <c r="F65" s="15" t="s">
        <v>20</v>
      </c>
      <c r="G65" s="15" t="s">
        <v>605</v>
      </c>
      <c r="H65" s="16" t="s">
        <v>83</v>
      </c>
      <c r="I65" s="18" t="s">
        <v>118</v>
      </c>
      <c r="J65" s="18" t="s">
        <v>118</v>
      </c>
      <c r="K65" s="17"/>
      <c r="L65" s="32" t="str">
        <f>"135,0"</f>
        <v>135,0</v>
      </c>
      <c r="M65" s="17" t="str">
        <f>"97,2000"</f>
        <v>97,2000</v>
      </c>
      <c r="N65" s="15" t="s">
        <v>59</v>
      </c>
    </row>
    <row r="66" spans="1:14" x14ac:dyDescent="0.2">
      <c r="A66" s="17" t="s">
        <v>182</v>
      </c>
      <c r="B66" s="15" t="s">
        <v>978</v>
      </c>
      <c r="C66" s="15" t="s">
        <v>979</v>
      </c>
      <c r="D66" s="15" t="s">
        <v>980</v>
      </c>
      <c r="E66" s="15" t="str">
        <f>"0,7221"</f>
        <v>0,7221</v>
      </c>
      <c r="F66" s="15" t="s">
        <v>20</v>
      </c>
      <c r="G66" s="15" t="s">
        <v>981</v>
      </c>
      <c r="H66" s="16" t="s">
        <v>88</v>
      </c>
      <c r="I66" s="16" t="s">
        <v>57</v>
      </c>
      <c r="J66" s="16" t="s">
        <v>130</v>
      </c>
      <c r="K66" s="17"/>
      <c r="L66" s="32" t="str">
        <f>"127,5"</f>
        <v>127,5</v>
      </c>
      <c r="M66" s="17" t="str">
        <f>"92,0678"</f>
        <v>92,0678</v>
      </c>
      <c r="N66" s="15" t="s">
        <v>899</v>
      </c>
    </row>
    <row r="67" spans="1:14" x14ac:dyDescent="0.2">
      <c r="A67" s="17" t="s">
        <v>276</v>
      </c>
      <c r="B67" s="15" t="s">
        <v>982</v>
      </c>
      <c r="C67" s="15" t="s">
        <v>983</v>
      </c>
      <c r="D67" s="15" t="s">
        <v>578</v>
      </c>
      <c r="E67" s="15" t="str">
        <f>"0,7235"</f>
        <v>0,7235</v>
      </c>
      <c r="F67" s="15" t="s">
        <v>20</v>
      </c>
      <c r="G67" s="15" t="s">
        <v>69</v>
      </c>
      <c r="H67" s="16" t="s">
        <v>88</v>
      </c>
      <c r="I67" s="16" t="s">
        <v>90</v>
      </c>
      <c r="J67" s="18" t="s">
        <v>58</v>
      </c>
      <c r="K67" s="17"/>
      <c r="L67" s="32" t="str">
        <f>"125,0"</f>
        <v>125,0</v>
      </c>
      <c r="M67" s="17" t="str">
        <f>"90,4375"</f>
        <v>90,4375</v>
      </c>
      <c r="N67" s="15" t="s">
        <v>984</v>
      </c>
    </row>
    <row r="68" spans="1:14" x14ac:dyDescent="0.2">
      <c r="A68" s="17" t="s">
        <v>281</v>
      </c>
      <c r="B68" s="15" t="s">
        <v>985</v>
      </c>
      <c r="C68" s="15" t="s">
        <v>986</v>
      </c>
      <c r="D68" s="15" t="s">
        <v>574</v>
      </c>
      <c r="E68" s="15" t="str">
        <f>"0,7271"</f>
        <v>0,7271</v>
      </c>
      <c r="F68" s="15" t="s">
        <v>20</v>
      </c>
      <c r="G68" s="15" t="s">
        <v>69</v>
      </c>
      <c r="H68" s="16" t="s">
        <v>116</v>
      </c>
      <c r="I68" s="18" t="s">
        <v>58</v>
      </c>
      <c r="J68" s="18" t="s">
        <v>58</v>
      </c>
      <c r="K68" s="17"/>
      <c r="L68" s="32" t="str">
        <f>"120,0"</f>
        <v>120,0</v>
      </c>
      <c r="M68" s="17" t="str">
        <f>"87,2520"</f>
        <v>87,2520</v>
      </c>
      <c r="N68" s="15" t="s">
        <v>59</v>
      </c>
    </row>
    <row r="69" spans="1:14" x14ac:dyDescent="0.2">
      <c r="A69" s="17" t="s">
        <v>285</v>
      </c>
      <c r="B69" s="15" t="s">
        <v>987</v>
      </c>
      <c r="C69" s="15" t="s">
        <v>988</v>
      </c>
      <c r="D69" s="15" t="s">
        <v>574</v>
      </c>
      <c r="E69" s="15" t="str">
        <f>"0,7271"</f>
        <v>0,7271</v>
      </c>
      <c r="F69" s="15" t="s">
        <v>20</v>
      </c>
      <c r="G69" s="15" t="s">
        <v>989</v>
      </c>
      <c r="H69" s="18" t="s">
        <v>30</v>
      </c>
      <c r="I69" s="16" t="s">
        <v>88</v>
      </c>
      <c r="J69" s="18" t="s">
        <v>57</v>
      </c>
      <c r="K69" s="17"/>
      <c r="L69" s="32" t="str">
        <f>"117,5"</f>
        <v>117,5</v>
      </c>
      <c r="M69" s="17" t="str">
        <f>"85,4343"</f>
        <v>85,4343</v>
      </c>
      <c r="N69" s="15" t="s">
        <v>59</v>
      </c>
    </row>
    <row r="70" spans="1:14" x14ac:dyDescent="0.2">
      <c r="A70" s="17" t="s">
        <v>16</v>
      </c>
      <c r="B70" s="15" t="s">
        <v>990</v>
      </c>
      <c r="C70" s="15" t="s">
        <v>991</v>
      </c>
      <c r="D70" s="15" t="s">
        <v>992</v>
      </c>
      <c r="E70" s="15" t="str">
        <f>"0,7152"</f>
        <v>0,7152</v>
      </c>
      <c r="F70" s="15" t="s">
        <v>20</v>
      </c>
      <c r="G70" s="15" t="s">
        <v>69</v>
      </c>
      <c r="H70" s="16" t="s">
        <v>125</v>
      </c>
      <c r="I70" s="16" t="s">
        <v>136</v>
      </c>
      <c r="J70" s="18" t="s">
        <v>322</v>
      </c>
      <c r="K70" s="17"/>
      <c r="L70" s="32" t="str">
        <f>"150,0"</f>
        <v>150,0</v>
      </c>
      <c r="M70" s="17" t="str">
        <f>"108,7819"</f>
        <v>108,7819</v>
      </c>
      <c r="N70" s="15" t="s">
        <v>993</v>
      </c>
    </row>
    <row r="71" spans="1:14" x14ac:dyDescent="0.2">
      <c r="A71" s="17" t="s">
        <v>16</v>
      </c>
      <c r="B71" s="15" t="s">
        <v>994</v>
      </c>
      <c r="C71" s="15" t="s">
        <v>995</v>
      </c>
      <c r="D71" s="15" t="s">
        <v>996</v>
      </c>
      <c r="E71" s="15" t="str">
        <f>"0,7228"</f>
        <v>0,7228</v>
      </c>
      <c r="F71" s="15" t="s">
        <v>20</v>
      </c>
      <c r="G71" s="15" t="s">
        <v>69</v>
      </c>
      <c r="H71" s="16" t="s">
        <v>57</v>
      </c>
      <c r="I71" s="16" t="s">
        <v>130</v>
      </c>
      <c r="J71" s="18" t="s">
        <v>117</v>
      </c>
      <c r="K71" s="17"/>
      <c r="L71" s="32" t="str">
        <f>"127,5"</f>
        <v>127,5</v>
      </c>
      <c r="M71" s="17" t="str">
        <f>"105,9806"</f>
        <v>105,9806</v>
      </c>
      <c r="N71" s="15" t="s">
        <v>59</v>
      </c>
    </row>
    <row r="72" spans="1:14" x14ac:dyDescent="0.2">
      <c r="A72" s="17" t="s">
        <v>60</v>
      </c>
      <c r="B72" s="15" t="s">
        <v>997</v>
      </c>
      <c r="C72" s="15" t="s">
        <v>998</v>
      </c>
      <c r="D72" s="15" t="s">
        <v>999</v>
      </c>
      <c r="E72" s="15" t="str">
        <f>"0,7322"</f>
        <v>0,7322</v>
      </c>
      <c r="F72" s="15" t="s">
        <v>20</v>
      </c>
      <c r="G72" s="15" t="s">
        <v>69</v>
      </c>
      <c r="H72" s="16" t="s">
        <v>386</v>
      </c>
      <c r="I72" s="16" t="s">
        <v>88</v>
      </c>
      <c r="J72" s="18" t="s">
        <v>57</v>
      </c>
      <c r="K72" s="17"/>
      <c r="L72" s="32" t="str">
        <f>"117,5"</f>
        <v>117,5</v>
      </c>
      <c r="M72" s="17" t="str">
        <f>"98,9385"</f>
        <v>98,9385</v>
      </c>
      <c r="N72" s="15" t="s">
        <v>59</v>
      </c>
    </row>
    <row r="73" spans="1:14" x14ac:dyDescent="0.2">
      <c r="A73" s="17" t="s">
        <v>16</v>
      </c>
      <c r="B73" s="15" t="s">
        <v>1000</v>
      </c>
      <c r="C73" s="15" t="s">
        <v>1001</v>
      </c>
      <c r="D73" s="15" t="s">
        <v>1002</v>
      </c>
      <c r="E73" s="15" t="str">
        <f>"0,7383"</f>
        <v>0,7383</v>
      </c>
      <c r="F73" s="15" t="s">
        <v>190</v>
      </c>
      <c r="G73" s="15" t="s">
        <v>566</v>
      </c>
      <c r="H73" s="16" t="s">
        <v>378</v>
      </c>
      <c r="I73" s="18" t="s">
        <v>82</v>
      </c>
      <c r="J73" s="18" t="s">
        <v>82</v>
      </c>
      <c r="K73" s="17"/>
      <c r="L73" s="32" t="str">
        <f>"107,5"</f>
        <v>107,5</v>
      </c>
      <c r="M73" s="17" t="str">
        <f>"129,3686"</f>
        <v>129,3686</v>
      </c>
      <c r="N73" s="15" t="s">
        <v>59</v>
      </c>
    </row>
    <row r="74" spans="1:14" x14ac:dyDescent="0.2">
      <c r="A74" s="21" t="s">
        <v>60</v>
      </c>
      <c r="B74" s="19" t="s">
        <v>1003</v>
      </c>
      <c r="C74" s="19" t="s">
        <v>1004</v>
      </c>
      <c r="D74" s="19" t="s">
        <v>164</v>
      </c>
      <c r="E74" s="19" t="str">
        <f>"0,7307"</f>
        <v>0,7307</v>
      </c>
      <c r="F74" s="19" t="s">
        <v>20</v>
      </c>
      <c r="G74" s="19" t="s">
        <v>69</v>
      </c>
      <c r="H74" s="20" t="s">
        <v>35</v>
      </c>
      <c r="I74" s="20" t="s">
        <v>28</v>
      </c>
      <c r="J74" s="22" t="s">
        <v>29</v>
      </c>
      <c r="K74" s="21"/>
      <c r="L74" s="29" t="str">
        <f>"87,5"</f>
        <v>87,5</v>
      </c>
      <c r="M74" s="21" t="str">
        <f>"102,1062"</f>
        <v>102,1062</v>
      </c>
      <c r="N74" s="19" t="s">
        <v>1005</v>
      </c>
    </row>
    <row r="75" spans="1:14" x14ac:dyDescent="0.2">
      <c r="B75" s="5" t="s">
        <v>38</v>
      </c>
    </row>
    <row r="76" spans="1:14" ht="15" x14ac:dyDescent="0.2">
      <c r="A76" s="81" t="s">
        <v>192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4" x14ac:dyDescent="0.2">
      <c r="A77" s="14" t="s">
        <v>16</v>
      </c>
      <c r="B77" s="11" t="s">
        <v>1006</v>
      </c>
      <c r="C77" s="11" t="s">
        <v>1007</v>
      </c>
      <c r="D77" s="11" t="s">
        <v>1008</v>
      </c>
      <c r="E77" s="11" t="str">
        <f>"0,7086"</f>
        <v>0,7086</v>
      </c>
      <c r="F77" s="11" t="s">
        <v>20</v>
      </c>
      <c r="G77" s="11" t="s">
        <v>1009</v>
      </c>
      <c r="H77" s="13" t="s">
        <v>58</v>
      </c>
      <c r="I77" s="13" t="s">
        <v>83</v>
      </c>
      <c r="J77" s="12" t="s">
        <v>118</v>
      </c>
      <c r="K77" s="14"/>
      <c r="L77" s="28" t="str">
        <f>"135,0"</f>
        <v>135,0</v>
      </c>
      <c r="M77" s="14" t="str">
        <f>"95,6610"</f>
        <v>95,6610</v>
      </c>
      <c r="N77" s="11" t="s">
        <v>59</v>
      </c>
    </row>
    <row r="78" spans="1:14" x14ac:dyDescent="0.2">
      <c r="A78" s="17" t="s">
        <v>60</v>
      </c>
      <c r="B78" s="15" t="s">
        <v>1010</v>
      </c>
      <c r="C78" s="15" t="s">
        <v>1011</v>
      </c>
      <c r="D78" s="15" t="s">
        <v>587</v>
      </c>
      <c r="E78" s="15" t="str">
        <f>"0,7067"</f>
        <v>0,7067</v>
      </c>
      <c r="F78" s="15" t="s">
        <v>20</v>
      </c>
      <c r="G78" s="15" t="s">
        <v>401</v>
      </c>
      <c r="H78" s="16" t="s">
        <v>107</v>
      </c>
      <c r="I78" s="16" t="s">
        <v>116</v>
      </c>
      <c r="J78" s="16" t="s">
        <v>57</v>
      </c>
      <c r="K78" s="17"/>
      <c r="L78" s="32" t="str">
        <f>"122,5"</f>
        <v>122,5</v>
      </c>
      <c r="M78" s="17" t="str">
        <f>"86,5708"</f>
        <v>86,5708</v>
      </c>
      <c r="N78" s="15" t="s">
        <v>487</v>
      </c>
    </row>
    <row r="79" spans="1:14" x14ac:dyDescent="0.2">
      <c r="A79" s="17" t="s">
        <v>16</v>
      </c>
      <c r="B79" s="15" t="s">
        <v>1012</v>
      </c>
      <c r="C79" s="15" t="s">
        <v>988</v>
      </c>
      <c r="D79" s="15" t="s">
        <v>195</v>
      </c>
      <c r="E79" s="15" t="str">
        <f>"0,6729"</f>
        <v>0,6729</v>
      </c>
      <c r="F79" s="15" t="s">
        <v>20</v>
      </c>
      <c r="G79" s="15" t="s">
        <v>579</v>
      </c>
      <c r="H79" s="16" t="s">
        <v>478</v>
      </c>
      <c r="I79" s="18" t="s">
        <v>227</v>
      </c>
      <c r="J79" s="16" t="s">
        <v>227</v>
      </c>
      <c r="K79" s="17"/>
      <c r="L79" s="32" t="str">
        <f>"167,5"</f>
        <v>167,5</v>
      </c>
      <c r="M79" s="17" t="str">
        <f>"112,7108"</f>
        <v>112,7108</v>
      </c>
      <c r="N79" s="15" t="s">
        <v>59</v>
      </c>
    </row>
    <row r="80" spans="1:14" x14ac:dyDescent="0.2">
      <c r="A80" s="17" t="s">
        <v>60</v>
      </c>
      <c r="B80" s="15" t="s">
        <v>1013</v>
      </c>
      <c r="C80" s="15" t="s">
        <v>1014</v>
      </c>
      <c r="D80" s="15" t="s">
        <v>828</v>
      </c>
      <c r="E80" s="15" t="str">
        <f>"0,6699"</f>
        <v>0,6699</v>
      </c>
      <c r="F80" s="15" t="s">
        <v>20</v>
      </c>
      <c r="G80" s="15" t="s">
        <v>1015</v>
      </c>
      <c r="H80" s="16" t="s">
        <v>227</v>
      </c>
      <c r="I80" s="18" t="s">
        <v>228</v>
      </c>
      <c r="J80" s="18" t="s">
        <v>228</v>
      </c>
      <c r="K80" s="17"/>
      <c r="L80" s="32" t="str">
        <f>"167,5"</f>
        <v>167,5</v>
      </c>
      <c r="M80" s="17" t="str">
        <f>"112,2083"</f>
        <v>112,2083</v>
      </c>
      <c r="N80" s="15" t="s">
        <v>1016</v>
      </c>
    </row>
    <row r="81" spans="1:14" x14ac:dyDescent="0.2">
      <c r="A81" s="17" t="s">
        <v>65</v>
      </c>
      <c r="B81" s="15" t="s">
        <v>1017</v>
      </c>
      <c r="C81" s="15" t="s">
        <v>1018</v>
      </c>
      <c r="D81" s="15" t="s">
        <v>1019</v>
      </c>
      <c r="E81" s="15" t="str">
        <f>"0,6764"</f>
        <v>0,6764</v>
      </c>
      <c r="F81" s="15" t="s">
        <v>20</v>
      </c>
      <c r="G81" s="15" t="s">
        <v>879</v>
      </c>
      <c r="H81" s="16" t="s">
        <v>109</v>
      </c>
      <c r="I81" s="16" t="s">
        <v>98</v>
      </c>
      <c r="J81" s="18" t="s">
        <v>110</v>
      </c>
      <c r="K81" s="17"/>
      <c r="L81" s="32" t="str">
        <f>"160,0"</f>
        <v>160,0</v>
      </c>
      <c r="M81" s="17" t="str">
        <f>"108,2240"</f>
        <v>108,2240</v>
      </c>
      <c r="N81" s="15" t="s">
        <v>59</v>
      </c>
    </row>
    <row r="82" spans="1:14" x14ac:dyDescent="0.2">
      <c r="A82" s="17" t="s">
        <v>182</v>
      </c>
      <c r="B82" s="15" t="s">
        <v>1020</v>
      </c>
      <c r="C82" s="15" t="s">
        <v>1021</v>
      </c>
      <c r="D82" s="15" t="s">
        <v>1022</v>
      </c>
      <c r="E82" s="15" t="str">
        <f>"0,6749"</f>
        <v>0,6749</v>
      </c>
      <c r="F82" s="15" t="s">
        <v>20</v>
      </c>
      <c r="G82" s="15" t="s">
        <v>69</v>
      </c>
      <c r="H82" s="16" t="s">
        <v>98</v>
      </c>
      <c r="I82" s="18" t="s">
        <v>227</v>
      </c>
      <c r="J82" s="18" t="s">
        <v>227</v>
      </c>
      <c r="K82" s="17"/>
      <c r="L82" s="32" t="str">
        <f>"160,0"</f>
        <v>160,0</v>
      </c>
      <c r="M82" s="17" t="str">
        <f>"107,9840"</f>
        <v>107,9840</v>
      </c>
      <c r="N82" s="15" t="s">
        <v>59</v>
      </c>
    </row>
    <row r="83" spans="1:14" x14ac:dyDescent="0.2">
      <c r="A83" s="17" t="s">
        <v>276</v>
      </c>
      <c r="B83" s="15" t="s">
        <v>1023</v>
      </c>
      <c r="C83" s="15" t="s">
        <v>1024</v>
      </c>
      <c r="D83" s="15" t="s">
        <v>226</v>
      </c>
      <c r="E83" s="15" t="str">
        <f>"0,6734"</f>
        <v>0,6734</v>
      </c>
      <c r="F83" s="15" t="s">
        <v>171</v>
      </c>
      <c r="G83" s="15" t="s">
        <v>803</v>
      </c>
      <c r="H83" s="16" t="s">
        <v>125</v>
      </c>
      <c r="I83" s="16" t="s">
        <v>98</v>
      </c>
      <c r="J83" s="18" t="s">
        <v>227</v>
      </c>
      <c r="K83" s="17"/>
      <c r="L83" s="32" t="str">
        <f>"160,0"</f>
        <v>160,0</v>
      </c>
      <c r="M83" s="17" t="str">
        <f>"107,7440"</f>
        <v>107,7440</v>
      </c>
      <c r="N83" s="15" t="s">
        <v>59</v>
      </c>
    </row>
    <row r="84" spans="1:14" x14ac:dyDescent="0.2">
      <c r="A84" s="17" t="s">
        <v>281</v>
      </c>
      <c r="B84" s="15" t="s">
        <v>775</v>
      </c>
      <c r="C84" s="15" t="s">
        <v>776</v>
      </c>
      <c r="D84" s="15" t="s">
        <v>777</v>
      </c>
      <c r="E84" s="15" t="str">
        <f>"0,6963"</f>
        <v>0,6963</v>
      </c>
      <c r="F84" s="15" t="s">
        <v>20</v>
      </c>
      <c r="G84" s="15" t="s">
        <v>69</v>
      </c>
      <c r="H84" s="16" t="s">
        <v>118</v>
      </c>
      <c r="I84" s="16" t="s">
        <v>125</v>
      </c>
      <c r="J84" s="16" t="s">
        <v>136</v>
      </c>
      <c r="K84" s="17"/>
      <c r="L84" s="32" t="str">
        <f>"150,0"</f>
        <v>150,0</v>
      </c>
      <c r="M84" s="17" t="str">
        <f>"104,4450"</f>
        <v>104,4450</v>
      </c>
      <c r="N84" s="15" t="s">
        <v>59</v>
      </c>
    </row>
    <row r="85" spans="1:14" x14ac:dyDescent="0.2">
      <c r="A85" s="17" t="s">
        <v>285</v>
      </c>
      <c r="B85" s="15" t="s">
        <v>1025</v>
      </c>
      <c r="C85" s="15" t="s">
        <v>1026</v>
      </c>
      <c r="D85" s="15" t="s">
        <v>1027</v>
      </c>
      <c r="E85" s="15" t="str">
        <f>"0,6754"</f>
        <v>0,6754</v>
      </c>
      <c r="F85" s="15" t="s">
        <v>20</v>
      </c>
      <c r="G85" s="15" t="s">
        <v>69</v>
      </c>
      <c r="H85" s="16" t="s">
        <v>125</v>
      </c>
      <c r="I85" s="18" t="s">
        <v>136</v>
      </c>
      <c r="J85" s="16" t="s">
        <v>136</v>
      </c>
      <c r="K85" s="17"/>
      <c r="L85" s="32" t="str">
        <f>"150,0"</f>
        <v>150,0</v>
      </c>
      <c r="M85" s="17" t="str">
        <f>"101,3100"</f>
        <v>101,3100</v>
      </c>
      <c r="N85" s="15" t="s">
        <v>59</v>
      </c>
    </row>
    <row r="86" spans="1:14" x14ac:dyDescent="0.2">
      <c r="A86" s="17" t="s">
        <v>1028</v>
      </c>
      <c r="B86" s="15" t="s">
        <v>1029</v>
      </c>
      <c r="C86" s="15" t="s">
        <v>1030</v>
      </c>
      <c r="D86" s="15" t="s">
        <v>1022</v>
      </c>
      <c r="E86" s="15" t="str">
        <f>"0,6749"</f>
        <v>0,6749</v>
      </c>
      <c r="F86" s="15" t="s">
        <v>20</v>
      </c>
      <c r="G86" s="15" t="s">
        <v>401</v>
      </c>
      <c r="H86" s="16" t="s">
        <v>125</v>
      </c>
      <c r="I86" s="18" t="s">
        <v>136</v>
      </c>
      <c r="J86" s="16" t="s">
        <v>136</v>
      </c>
      <c r="K86" s="17"/>
      <c r="L86" s="32" t="str">
        <f>"150,0"</f>
        <v>150,0</v>
      </c>
      <c r="M86" s="17" t="str">
        <f>"101,2350"</f>
        <v>101,2350</v>
      </c>
      <c r="N86" s="15" t="s">
        <v>1031</v>
      </c>
    </row>
    <row r="87" spans="1:14" x14ac:dyDescent="0.2">
      <c r="A87" s="17" t="s">
        <v>1032</v>
      </c>
      <c r="B87" s="15" t="s">
        <v>1033</v>
      </c>
      <c r="C87" s="15" t="s">
        <v>1034</v>
      </c>
      <c r="D87" s="15" t="s">
        <v>216</v>
      </c>
      <c r="E87" s="15" t="str">
        <f>"0,6854"</f>
        <v>0,6854</v>
      </c>
      <c r="F87" s="15" t="s">
        <v>20</v>
      </c>
      <c r="G87" s="15" t="s">
        <v>1035</v>
      </c>
      <c r="H87" s="16" t="s">
        <v>83</v>
      </c>
      <c r="I87" s="16" t="s">
        <v>118</v>
      </c>
      <c r="J87" s="16" t="s">
        <v>125</v>
      </c>
      <c r="K87" s="17"/>
      <c r="L87" s="32" t="str">
        <f>"145,0"</f>
        <v>145,0</v>
      </c>
      <c r="M87" s="17" t="str">
        <f>"99,3830"</f>
        <v>99,3830</v>
      </c>
      <c r="N87" s="15" t="s">
        <v>59</v>
      </c>
    </row>
    <row r="88" spans="1:14" x14ac:dyDescent="0.2">
      <c r="A88" s="17" t="s">
        <v>1036</v>
      </c>
      <c r="B88" s="15" t="s">
        <v>1037</v>
      </c>
      <c r="C88" s="15" t="s">
        <v>1038</v>
      </c>
      <c r="D88" s="15" t="s">
        <v>419</v>
      </c>
      <c r="E88" s="15" t="str">
        <f>"0,6759"</f>
        <v>0,6759</v>
      </c>
      <c r="F88" s="15" t="s">
        <v>20</v>
      </c>
      <c r="G88" s="15" t="s">
        <v>1039</v>
      </c>
      <c r="H88" s="16" t="s">
        <v>58</v>
      </c>
      <c r="I88" s="18" t="s">
        <v>125</v>
      </c>
      <c r="J88" s="16" t="s">
        <v>125</v>
      </c>
      <c r="K88" s="17"/>
      <c r="L88" s="32" t="str">
        <f>"145,0"</f>
        <v>145,0</v>
      </c>
      <c r="M88" s="17" t="str">
        <f>"98,0055"</f>
        <v>98,0055</v>
      </c>
      <c r="N88" s="15" t="s">
        <v>59</v>
      </c>
    </row>
    <row r="89" spans="1:14" x14ac:dyDescent="0.2">
      <c r="A89" s="17" t="s">
        <v>1040</v>
      </c>
      <c r="B89" s="15" t="s">
        <v>1041</v>
      </c>
      <c r="C89" s="15" t="s">
        <v>1042</v>
      </c>
      <c r="D89" s="15" t="s">
        <v>1043</v>
      </c>
      <c r="E89" s="15" t="str">
        <f>"0,6843"</f>
        <v>0,6843</v>
      </c>
      <c r="F89" s="15" t="s">
        <v>20</v>
      </c>
      <c r="G89" s="15" t="s">
        <v>69</v>
      </c>
      <c r="H89" s="16" t="s">
        <v>83</v>
      </c>
      <c r="I89" s="16" t="s">
        <v>118</v>
      </c>
      <c r="J89" s="18" t="s">
        <v>91</v>
      </c>
      <c r="K89" s="17"/>
      <c r="L89" s="32" t="str">
        <f>"140,0"</f>
        <v>140,0</v>
      </c>
      <c r="M89" s="17" t="str">
        <f>"95,8020"</f>
        <v>95,8020</v>
      </c>
      <c r="N89" s="15" t="s">
        <v>59</v>
      </c>
    </row>
    <row r="90" spans="1:14" x14ac:dyDescent="0.2">
      <c r="A90" s="17" t="s">
        <v>1044</v>
      </c>
      <c r="B90" s="15" t="s">
        <v>1045</v>
      </c>
      <c r="C90" s="15" t="s">
        <v>1046</v>
      </c>
      <c r="D90" s="15" t="s">
        <v>1047</v>
      </c>
      <c r="E90" s="15" t="str">
        <f>"0,6811"</f>
        <v>0,6811</v>
      </c>
      <c r="F90" s="15" t="s">
        <v>20</v>
      </c>
      <c r="G90" s="15" t="s">
        <v>605</v>
      </c>
      <c r="H90" s="16" t="s">
        <v>58</v>
      </c>
      <c r="I90" s="16" t="s">
        <v>118</v>
      </c>
      <c r="J90" s="17"/>
      <c r="K90" s="17"/>
      <c r="L90" s="32" t="str">
        <f>"140,0"</f>
        <v>140,0</v>
      </c>
      <c r="M90" s="17" t="str">
        <f>"95,3540"</f>
        <v>95,3540</v>
      </c>
      <c r="N90" s="15" t="s">
        <v>59</v>
      </c>
    </row>
    <row r="91" spans="1:14" x14ac:dyDescent="0.2">
      <c r="A91" s="17" t="s">
        <v>1048</v>
      </c>
      <c r="B91" s="15" t="s">
        <v>1006</v>
      </c>
      <c r="C91" s="15" t="s">
        <v>1049</v>
      </c>
      <c r="D91" s="15" t="s">
        <v>1008</v>
      </c>
      <c r="E91" s="15" t="str">
        <f>"0,7086"</f>
        <v>0,7086</v>
      </c>
      <c r="F91" s="15" t="s">
        <v>20</v>
      </c>
      <c r="G91" s="15" t="s">
        <v>1009</v>
      </c>
      <c r="H91" s="16" t="s">
        <v>58</v>
      </c>
      <c r="I91" s="16" t="s">
        <v>83</v>
      </c>
      <c r="J91" s="18" t="s">
        <v>118</v>
      </c>
      <c r="K91" s="17"/>
      <c r="L91" s="32" t="str">
        <f>"135,0"</f>
        <v>135,0</v>
      </c>
      <c r="M91" s="17" t="str">
        <f>"95,6610"</f>
        <v>95,6610</v>
      </c>
      <c r="N91" s="15" t="s">
        <v>59</v>
      </c>
    </row>
    <row r="92" spans="1:14" x14ac:dyDescent="0.2">
      <c r="A92" s="17" t="s">
        <v>1050</v>
      </c>
      <c r="B92" s="15" t="s">
        <v>1051</v>
      </c>
      <c r="C92" s="15" t="s">
        <v>1052</v>
      </c>
      <c r="D92" s="15" t="s">
        <v>1053</v>
      </c>
      <c r="E92" s="15" t="str">
        <f>"0,6981"</f>
        <v>0,6981</v>
      </c>
      <c r="F92" s="15" t="s">
        <v>20</v>
      </c>
      <c r="G92" s="15" t="s">
        <v>69</v>
      </c>
      <c r="H92" s="16" t="s">
        <v>58</v>
      </c>
      <c r="I92" s="16" t="s">
        <v>117</v>
      </c>
      <c r="J92" s="18" t="s">
        <v>83</v>
      </c>
      <c r="K92" s="17"/>
      <c r="L92" s="32" t="str">
        <f>"132,5"</f>
        <v>132,5</v>
      </c>
      <c r="M92" s="17" t="str">
        <f>"92,4982"</f>
        <v>92,4982</v>
      </c>
      <c r="N92" s="15" t="s">
        <v>1054</v>
      </c>
    </row>
    <row r="93" spans="1:14" x14ac:dyDescent="0.2">
      <c r="A93" s="17" t="s">
        <v>1055</v>
      </c>
      <c r="B93" s="15" t="s">
        <v>1056</v>
      </c>
      <c r="C93" s="15" t="s">
        <v>1057</v>
      </c>
      <c r="D93" s="15" t="s">
        <v>1058</v>
      </c>
      <c r="E93" s="15" t="str">
        <f>"0,6774"</f>
        <v>0,6774</v>
      </c>
      <c r="F93" s="15" t="s">
        <v>20</v>
      </c>
      <c r="G93" s="15" t="s">
        <v>69</v>
      </c>
      <c r="H93" s="16" t="s">
        <v>58</v>
      </c>
      <c r="I93" s="18" t="s">
        <v>83</v>
      </c>
      <c r="J93" s="18" t="s">
        <v>83</v>
      </c>
      <c r="K93" s="17"/>
      <c r="L93" s="32" t="str">
        <f>"130,0"</f>
        <v>130,0</v>
      </c>
      <c r="M93" s="17" t="str">
        <f>"88,0620"</f>
        <v>88,0620</v>
      </c>
      <c r="N93" s="15" t="s">
        <v>59</v>
      </c>
    </row>
    <row r="94" spans="1:14" x14ac:dyDescent="0.2">
      <c r="A94" s="17" t="s">
        <v>1059</v>
      </c>
      <c r="B94" s="15" t="s">
        <v>1060</v>
      </c>
      <c r="C94" s="15" t="s">
        <v>1061</v>
      </c>
      <c r="D94" s="15" t="s">
        <v>831</v>
      </c>
      <c r="E94" s="15" t="str">
        <f>"0,6744"</f>
        <v>0,6744</v>
      </c>
      <c r="F94" s="15" t="s">
        <v>20</v>
      </c>
      <c r="G94" s="15" t="s">
        <v>69</v>
      </c>
      <c r="H94" s="16" t="s">
        <v>116</v>
      </c>
      <c r="I94" s="16" t="s">
        <v>130</v>
      </c>
      <c r="J94" s="18" t="s">
        <v>117</v>
      </c>
      <c r="K94" s="17"/>
      <c r="L94" s="32" t="str">
        <f>"127,5"</f>
        <v>127,5</v>
      </c>
      <c r="M94" s="17" t="str">
        <f>"85,9860"</f>
        <v>85,9860</v>
      </c>
      <c r="N94" s="15" t="s">
        <v>1062</v>
      </c>
    </row>
    <row r="95" spans="1:14" x14ac:dyDescent="0.2">
      <c r="A95" s="17" t="s">
        <v>186</v>
      </c>
      <c r="B95" s="15" t="s">
        <v>1063</v>
      </c>
      <c r="C95" s="15" t="s">
        <v>1064</v>
      </c>
      <c r="D95" s="15" t="s">
        <v>1027</v>
      </c>
      <c r="E95" s="15" t="str">
        <f>"0,6754"</f>
        <v>0,6754</v>
      </c>
      <c r="F95" s="15" t="s">
        <v>20</v>
      </c>
      <c r="G95" s="15" t="s">
        <v>1065</v>
      </c>
      <c r="H95" s="18" t="s">
        <v>83</v>
      </c>
      <c r="I95" s="18" t="s">
        <v>83</v>
      </c>
      <c r="J95" s="18" t="s">
        <v>83</v>
      </c>
      <c r="K95" s="17"/>
      <c r="L95" s="32">
        <v>0</v>
      </c>
      <c r="M95" s="17" t="str">
        <f>"0,0000"</f>
        <v>0,0000</v>
      </c>
      <c r="N95" s="15" t="s">
        <v>1066</v>
      </c>
    </row>
    <row r="96" spans="1:14" x14ac:dyDescent="0.2">
      <c r="A96" s="17" t="s">
        <v>186</v>
      </c>
      <c r="B96" s="15" t="s">
        <v>1067</v>
      </c>
      <c r="C96" s="15" t="s">
        <v>1068</v>
      </c>
      <c r="D96" s="15" t="s">
        <v>195</v>
      </c>
      <c r="E96" s="15" t="str">
        <f>"0,6729"</f>
        <v>0,6729</v>
      </c>
      <c r="F96" s="15" t="s">
        <v>20</v>
      </c>
      <c r="G96" s="15" t="s">
        <v>1069</v>
      </c>
      <c r="H96" s="18" t="s">
        <v>136</v>
      </c>
      <c r="I96" s="18" t="s">
        <v>109</v>
      </c>
      <c r="J96" s="18" t="s">
        <v>109</v>
      </c>
      <c r="K96" s="17"/>
      <c r="L96" s="32">
        <v>0</v>
      </c>
      <c r="M96" s="17" t="str">
        <f>"0,0000"</f>
        <v>0,0000</v>
      </c>
      <c r="N96" s="15" t="s">
        <v>1070</v>
      </c>
    </row>
    <row r="97" spans="1:14" x14ac:dyDescent="0.2">
      <c r="A97" s="21" t="s">
        <v>16</v>
      </c>
      <c r="B97" s="19" t="s">
        <v>1071</v>
      </c>
      <c r="C97" s="19" t="s">
        <v>1072</v>
      </c>
      <c r="D97" s="19" t="s">
        <v>1073</v>
      </c>
      <c r="E97" s="19" t="str">
        <f>"0,6769"</f>
        <v>0,6769</v>
      </c>
      <c r="F97" s="19" t="s">
        <v>20</v>
      </c>
      <c r="G97" s="19" t="s">
        <v>401</v>
      </c>
      <c r="H97" s="20" t="s">
        <v>125</v>
      </c>
      <c r="I97" s="20" t="s">
        <v>136</v>
      </c>
      <c r="J97" s="22" t="s">
        <v>109</v>
      </c>
      <c r="K97" s="21"/>
      <c r="L97" s="29" t="str">
        <f>"150,0"</f>
        <v>150,0</v>
      </c>
      <c r="M97" s="21" t="str">
        <f>"102,0427"</f>
        <v>102,0427</v>
      </c>
      <c r="N97" s="19" t="s">
        <v>487</v>
      </c>
    </row>
    <row r="98" spans="1:14" x14ac:dyDescent="0.2">
      <c r="B98" s="5" t="s">
        <v>38</v>
      </c>
    </row>
    <row r="99" spans="1:14" ht="15" x14ac:dyDescent="0.2">
      <c r="A99" s="81" t="s">
        <v>246</v>
      </c>
      <c r="B99" s="81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</row>
    <row r="100" spans="1:14" x14ac:dyDescent="0.2">
      <c r="A100" s="14" t="s">
        <v>16</v>
      </c>
      <c r="B100" s="11" t="s">
        <v>247</v>
      </c>
      <c r="C100" s="11" t="s">
        <v>248</v>
      </c>
      <c r="D100" s="11" t="s">
        <v>249</v>
      </c>
      <c r="E100" s="49" t="str">
        <f>"0,6413"</f>
        <v>0,6413</v>
      </c>
      <c r="F100" s="11" t="s">
        <v>20</v>
      </c>
      <c r="G100" s="40" t="s">
        <v>151</v>
      </c>
      <c r="H100" s="64" t="s">
        <v>118</v>
      </c>
      <c r="I100" s="12" t="s">
        <v>125</v>
      </c>
      <c r="J100" s="13" t="s">
        <v>125</v>
      </c>
      <c r="K100" s="14"/>
      <c r="L100" s="28" t="str">
        <f>"145,0"</f>
        <v>145,0</v>
      </c>
      <c r="M100" s="14" t="str">
        <f>"92,9885"</f>
        <v>92,9885</v>
      </c>
      <c r="N100" s="11" t="s">
        <v>253</v>
      </c>
    </row>
    <row r="101" spans="1:14" x14ac:dyDescent="0.2">
      <c r="A101" s="17" t="s">
        <v>60</v>
      </c>
      <c r="B101" s="15" t="s">
        <v>1074</v>
      </c>
      <c r="C101" s="15" t="s">
        <v>1075</v>
      </c>
      <c r="D101" s="15" t="s">
        <v>1076</v>
      </c>
      <c r="E101" s="50" t="str">
        <f>"0,6588"</f>
        <v>0,6588</v>
      </c>
      <c r="F101" s="15" t="s">
        <v>20</v>
      </c>
      <c r="G101" s="42" t="s">
        <v>401</v>
      </c>
      <c r="H101" s="65" t="s">
        <v>378</v>
      </c>
      <c r="I101" s="18" t="s">
        <v>386</v>
      </c>
      <c r="J101" s="18" t="s">
        <v>386</v>
      </c>
      <c r="K101" s="17"/>
      <c r="L101" s="32" t="str">
        <f>"107,5"</f>
        <v>107,5</v>
      </c>
      <c r="M101" s="17" t="str">
        <f>"70,8210"</f>
        <v>70,8210</v>
      </c>
      <c r="N101" s="15" t="s">
        <v>487</v>
      </c>
    </row>
    <row r="102" spans="1:14" x14ac:dyDescent="0.2">
      <c r="A102" s="17" t="s">
        <v>16</v>
      </c>
      <c r="B102" s="15" t="s">
        <v>786</v>
      </c>
      <c r="C102" s="15" t="s">
        <v>787</v>
      </c>
      <c r="D102" s="15" t="s">
        <v>264</v>
      </c>
      <c r="E102" s="50" t="str">
        <f>"0,6479"</f>
        <v>0,6479</v>
      </c>
      <c r="F102" s="15" t="s">
        <v>20</v>
      </c>
      <c r="G102" s="42" t="s">
        <v>788</v>
      </c>
      <c r="H102" s="65" t="s">
        <v>137</v>
      </c>
      <c r="I102" s="16" t="s">
        <v>123</v>
      </c>
      <c r="J102" s="18" t="s">
        <v>166</v>
      </c>
      <c r="K102" s="17"/>
      <c r="L102" s="32" t="str">
        <f>"180,0"</f>
        <v>180,0</v>
      </c>
      <c r="M102" s="17" t="str">
        <f>"116,6220"</f>
        <v>116,6220</v>
      </c>
      <c r="N102" s="15" t="s">
        <v>59</v>
      </c>
    </row>
    <row r="103" spans="1:14" x14ac:dyDescent="0.2">
      <c r="A103" s="17" t="s">
        <v>60</v>
      </c>
      <c r="B103" s="15" t="s">
        <v>1077</v>
      </c>
      <c r="C103" s="15" t="s">
        <v>1078</v>
      </c>
      <c r="D103" s="15" t="s">
        <v>1079</v>
      </c>
      <c r="E103" s="50" t="str">
        <f>"0,6495"</f>
        <v>0,6495</v>
      </c>
      <c r="F103" s="15" t="s">
        <v>20</v>
      </c>
      <c r="G103" s="42" t="s">
        <v>808</v>
      </c>
      <c r="H103" s="65" t="s">
        <v>98</v>
      </c>
      <c r="I103" s="18" t="s">
        <v>110</v>
      </c>
      <c r="J103" s="16" t="s">
        <v>110</v>
      </c>
      <c r="K103" s="17"/>
      <c r="L103" s="32" t="str">
        <f>"165,0"</f>
        <v>165,0</v>
      </c>
      <c r="M103" s="17" t="str">
        <f>"107,1675"</f>
        <v>107,1675</v>
      </c>
      <c r="N103" s="15" t="s">
        <v>59</v>
      </c>
    </row>
    <row r="104" spans="1:14" x14ac:dyDescent="0.2">
      <c r="A104" s="17" t="s">
        <v>65</v>
      </c>
      <c r="B104" s="15" t="s">
        <v>1080</v>
      </c>
      <c r="C104" s="15" t="s">
        <v>1081</v>
      </c>
      <c r="D104" s="15" t="s">
        <v>1082</v>
      </c>
      <c r="E104" s="50" t="str">
        <f>"0,6447"</f>
        <v>0,6447</v>
      </c>
      <c r="F104" s="15" t="s">
        <v>20</v>
      </c>
      <c r="G104" s="42" t="s">
        <v>69</v>
      </c>
      <c r="H104" s="65" t="s">
        <v>109</v>
      </c>
      <c r="I104" s="16" t="s">
        <v>110</v>
      </c>
      <c r="J104" s="18" t="s">
        <v>137</v>
      </c>
      <c r="K104" s="17"/>
      <c r="L104" s="32" t="str">
        <f>"165,0"</f>
        <v>165,0</v>
      </c>
      <c r="M104" s="17" t="str">
        <f>"106,3755"</f>
        <v>106,3755</v>
      </c>
      <c r="N104" s="15" t="s">
        <v>1083</v>
      </c>
    </row>
    <row r="105" spans="1:14" x14ac:dyDescent="0.2">
      <c r="A105" s="17" t="s">
        <v>182</v>
      </c>
      <c r="B105" s="15" t="s">
        <v>1084</v>
      </c>
      <c r="C105" s="15" t="s">
        <v>1085</v>
      </c>
      <c r="D105" s="15" t="s">
        <v>1086</v>
      </c>
      <c r="E105" s="50" t="str">
        <f>"0,6444"</f>
        <v>0,6444</v>
      </c>
      <c r="F105" s="15" t="s">
        <v>20</v>
      </c>
      <c r="G105" s="42" t="s">
        <v>791</v>
      </c>
      <c r="H105" s="65" t="s">
        <v>109</v>
      </c>
      <c r="I105" s="16" t="s">
        <v>98</v>
      </c>
      <c r="J105" s="18" t="s">
        <v>266</v>
      </c>
      <c r="K105" s="17"/>
      <c r="L105" s="32" t="str">
        <f>"160,0"</f>
        <v>160,0</v>
      </c>
      <c r="M105" s="17" t="str">
        <f>"103,1040"</f>
        <v>103,1040</v>
      </c>
      <c r="N105" s="15" t="s">
        <v>59</v>
      </c>
    </row>
    <row r="106" spans="1:14" x14ac:dyDescent="0.2">
      <c r="A106" s="17" t="s">
        <v>276</v>
      </c>
      <c r="B106" s="15" t="s">
        <v>1087</v>
      </c>
      <c r="C106" s="15" t="s">
        <v>1088</v>
      </c>
      <c r="D106" s="15" t="s">
        <v>643</v>
      </c>
      <c r="E106" s="50" t="str">
        <f>"0,6417"</f>
        <v>0,6417</v>
      </c>
      <c r="F106" s="15" t="s">
        <v>20</v>
      </c>
      <c r="G106" s="42" t="s">
        <v>69</v>
      </c>
      <c r="H106" s="65" t="s">
        <v>125</v>
      </c>
      <c r="I106" s="16" t="s">
        <v>322</v>
      </c>
      <c r="J106" s="16" t="s">
        <v>109</v>
      </c>
      <c r="K106" s="17"/>
      <c r="L106" s="32" t="str">
        <f>"155,0"</f>
        <v>155,0</v>
      </c>
      <c r="M106" s="17" t="str">
        <f>"99,4635"</f>
        <v>99,4635</v>
      </c>
      <c r="N106" s="15" t="s">
        <v>59</v>
      </c>
    </row>
    <row r="107" spans="1:14" x14ac:dyDescent="0.2">
      <c r="A107" s="17" t="s">
        <v>281</v>
      </c>
      <c r="B107" s="15" t="s">
        <v>1089</v>
      </c>
      <c r="C107" s="15" t="s">
        <v>1090</v>
      </c>
      <c r="D107" s="15" t="s">
        <v>447</v>
      </c>
      <c r="E107" s="50" t="str">
        <f>"0,6402"</f>
        <v>0,6402</v>
      </c>
      <c r="F107" s="15" t="s">
        <v>20</v>
      </c>
      <c r="G107" s="42" t="s">
        <v>865</v>
      </c>
      <c r="H107" s="65" t="s">
        <v>109</v>
      </c>
      <c r="I107" s="18" t="s">
        <v>227</v>
      </c>
      <c r="J107" s="18" t="s">
        <v>137</v>
      </c>
      <c r="K107" s="17"/>
      <c r="L107" s="32" t="str">
        <f>"155,0"</f>
        <v>155,0</v>
      </c>
      <c r="M107" s="17" t="str">
        <f>"99,2310"</f>
        <v>99,2310</v>
      </c>
      <c r="N107" s="15" t="s">
        <v>866</v>
      </c>
    </row>
    <row r="108" spans="1:14" x14ac:dyDescent="0.2">
      <c r="A108" s="17" t="s">
        <v>285</v>
      </c>
      <c r="B108" s="15" t="s">
        <v>1091</v>
      </c>
      <c r="C108" s="15" t="s">
        <v>790</v>
      </c>
      <c r="D108" s="15" t="s">
        <v>1092</v>
      </c>
      <c r="E108" s="50" t="str">
        <f>"0,6410"</f>
        <v>0,6410</v>
      </c>
      <c r="F108" s="15" t="s">
        <v>20</v>
      </c>
      <c r="G108" s="42" t="s">
        <v>69</v>
      </c>
      <c r="H108" s="65" t="s">
        <v>312</v>
      </c>
      <c r="I108" s="16" t="s">
        <v>322</v>
      </c>
      <c r="J108" s="18" t="s">
        <v>109</v>
      </c>
      <c r="K108" s="17"/>
      <c r="L108" s="32" t="str">
        <f>"152,5"</f>
        <v>152,5</v>
      </c>
      <c r="M108" s="17" t="str">
        <f>"97,7525"</f>
        <v>97,7525</v>
      </c>
      <c r="N108" s="15" t="s">
        <v>1093</v>
      </c>
    </row>
    <row r="109" spans="1:14" x14ac:dyDescent="0.2">
      <c r="A109" s="17" t="s">
        <v>1028</v>
      </c>
      <c r="B109" s="15" t="s">
        <v>1094</v>
      </c>
      <c r="C109" s="15" t="s">
        <v>1095</v>
      </c>
      <c r="D109" s="15" t="s">
        <v>270</v>
      </c>
      <c r="E109" s="50" t="str">
        <f>"0,6395"</f>
        <v>0,6395</v>
      </c>
      <c r="F109" s="15" t="s">
        <v>20</v>
      </c>
      <c r="G109" s="42" t="s">
        <v>69</v>
      </c>
      <c r="H109" s="65" t="s">
        <v>125</v>
      </c>
      <c r="I109" s="16" t="s">
        <v>322</v>
      </c>
      <c r="J109" s="18" t="s">
        <v>478</v>
      </c>
      <c r="K109" s="17"/>
      <c r="L109" s="32" t="str">
        <f>"152,5"</f>
        <v>152,5</v>
      </c>
      <c r="M109" s="17" t="str">
        <f>"97,5238"</f>
        <v>97,5238</v>
      </c>
      <c r="N109" s="15" t="s">
        <v>1096</v>
      </c>
    </row>
    <row r="110" spans="1:14" x14ac:dyDescent="0.2">
      <c r="A110" s="17" t="s">
        <v>1032</v>
      </c>
      <c r="B110" s="15" t="s">
        <v>1097</v>
      </c>
      <c r="C110" s="15" t="s">
        <v>1098</v>
      </c>
      <c r="D110" s="15" t="s">
        <v>1099</v>
      </c>
      <c r="E110" s="50" t="str">
        <f>"0,6406"</f>
        <v>0,6406</v>
      </c>
      <c r="F110" s="15" t="s">
        <v>20</v>
      </c>
      <c r="G110" s="42" t="s">
        <v>69</v>
      </c>
      <c r="H110" s="65" t="s">
        <v>118</v>
      </c>
      <c r="I110" s="16" t="s">
        <v>125</v>
      </c>
      <c r="J110" s="18" t="s">
        <v>312</v>
      </c>
      <c r="K110" s="17"/>
      <c r="L110" s="32" t="str">
        <f>"145,0"</f>
        <v>145,0</v>
      </c>
      <c r="M110" s="17" t="str">
        <f>"92,8870"</f>
        <v>92,8870</v>
      </c>
      <c r="N110" s="15" t="s">
        <v>59</v>
      </c>
    </row>
    <row r="111" spans="1:14" x14ac:dyDescent="0.2">
      <c r="A111" s="17" t="s">
        <v>1036</v>
      </c>
      <c r="B111" s="15" t="s">
        <v>1100</v>
      </c>
      <c r="C111" s="15" t="s">
        <v>1101</v>
      </c>
      <c r="D111" s="15" t="s">
        <v>1102</v>
      </c>
      <c r="E111" s="50" t="str">
        <f>"0,6487"</f>
        <v>0,6487</v>
      </c>
      <c r="F111" s="15" t="s">
        <v>20</v>
      </c>
      <c r="G111" s="42" t="s">
        <v>69</v>
      </c>
      <c r="H111" s="65" t="s">
        <v>117</v>
      </c>
      <c r="I111" s="16" t="s">
        <v>118</v>
      </c>
      <c r="J111" s="18" t="s">
        <v>322</v>
      </c>
      <c r="K111" s="17"/>
      <c r="L111" s="32" t="str">
        <f>"140,0"</f>
        <v>140,0</v>
      </c>
      <c r="M111" s="17" t="str">
        <f>"90,8180"</f>
        <v>90,8180</v>
      </c>
      <c r="N111" s="15" t="s">
        <v>59</v>
      </c>
    </row>
    <row r="112" spans="1:14" x14ac:dyDescent="0.2">
      <c r="A112" s="17" t="s">
        <v>1040</v>
      </c>
      <c r="B112" s="15" t="s">
        <v>1103</v>
      </c>
      <c r="C112" s="15" t="s">
        <v>1104</v>
      </c>
      <c r="D112" s="15" t="s">
        <v>1105</v>
      </c>
      <c r="E112" s="50" t="str">
        <f>"0,6515"</f>
        <v>0,6515</v>
      </c>
      <c r="F112" s="15" t="s">
        <v>20</v>
      </c>
      <c r="G112" s="42" t="s">
        <v>1106</v>
      </c>
      <c r="H112" s="65" t="s">
        <v>90</v>
      </c>
      <c r="I112" s="16" t="s">
        <v>117</v>
      </c>
      <c r="J112" s="18" t="s">
        <v>83</v>
      </c>
      <c r="K112" s="17"/>
      <c r="L112" s="32" t="str">
        <f>"132,5"</f>
        <v>132,5</v>
      </c>
      <c r="M112" s="17" t="str">
        <f>"86,3237"</f>
        <v>86,3237</v>
      </c>
      <c r="N112" s="15" t="s">
        <v>59</v>
      </c>
    </row>
    <row r="113" spans="1:14" x14ac:dyDescent="0.2">
      <c r="A113" s="17" t="s">
        <v>1044</v>
      </c>
      <c r="B113" s="15" t="s">
        <v>1107</v>
      </c>
      <c r="C113" s="15" t="s">
        <v>1108</v>
      </c>
      <c r="D113" s="15" t="s">
        <v>1109</v>
      </c>
      <c r="E113" s="50" t="str">
        <f>"0,6459"</f>
        <v>0,6459</v>
      </c>
      <c r="F113" s="15" t="s">
        <v>20</v>
      </c>
      <c r="G113" s="42" t="s">
        <v>69</v>
      </c>
      <c r="H113" s="65" t="s">
        <v>90</v>
      </c>
      <c r="I113" s="16" t="s">
        <v>117</v>
      </c>
      <c r="J113" s="18" t="s">
        <v>237</v>
      </c>
      <c r="K113" s="17"/>
      <c r="L113" s="32" t="str">
        <f>"132,5"</f>
        <v>132,5</v>
      </c>
      <c r="M113" s="17" t="str">
        <f>"85,5818"</f>
        <v>85,5818</v>
      </c>
      <c r="N113" s="15" t="s">
        <v>59</v>
      </c>
    </row>
    <row r="114" spans="1:14" x14ac:dyDescent="0.2">
      <c r="A114" s="17" t="s">
        <v>1048</v>
      </c>
      <c r="B114" s="15" t="s">
        <v>1110</v>
      </c>
      <c r="C114" s="15" t="s">
        <v>1111</v>
      </c>
      <c r="D114" s="15" t="s">
        <v>1092</v>
      </c>
      <c r="E114" s="50" t="str">
        <f>"0,6410"</f>
        <v>0,6410</v>
      </c>
      <c r="F114" s="15" t="s">
        <v>20</v>
      </c>
      <c r="G114" s="42" t="s">
        <v>1112</v>
      </c>
      <c r="H114" s="65" t="s">
        <v>130</v>
      </c>
      <c r="I114" s="18" t="s">
        <v>117</v>
      </c>
      <c r="J114" s="18" t="s">
        <v>117</v>
      </c>
      <c r="K114" s="17"/>
      <c r="L114" s="32" t="str">
        <f>"127,5"</f>
        <v>127,5</v>
      </c>
      <c r="M114" s="17" t="str">
        <f>"81,7275"</f>
        <v>81,7275</v>
      </c>
      <c r="N114" s="15" t="s">
        <v>59</v>
      </c>
    </row>
    <row r="115" spans="1:14" x14ac:dyDescent="0.2">
      <c r="A115" s="17" t="s">
        <v>1050</v>
      </c>
      <c r="B115" s="15" t="s">
        <v>1113</v>
      </c>
      <c r="C115" s="15" t="s">
        <v>683</v>
      </c>
      <c r="D115" s="15" t="s">
        <v>1114</v>
      </c>
      <c r="E115" s="50" t="str">
        <f>"0,6440"</f>
        <v>0,6440</v>
      </c>
      <c r="F115" s="15" t="s">
        <v>20</v>
      </c>
      <c r="G115" s="42" t="s">
        <v>69</v>
      </c>
      <c r="H115" s="65" t="s">
        <v>107</v>
      </c>
      <c r="I115" s="18" t="s">
        <v>116</v>
      </c>
      <c r="J115" s="16" t="s">
        <v>116</v>
      </c>
      <c r="K115" s="17"/>
      <c r="L115" s="32" t="str">
        <f>"120,0"</f>
        <v>120,0</v>
      </c>
      <c r="M115" s="17" t="str">
        <f>"77,2800"</f>
        <v>77,2800</v>
      </c>
      <c r="N115" s="15" t="s">
        <v>1115</v>
      </c>
    </row>
    <row r="116" spans="1:14" x14ac:dyDescent="0.2">
      <c r="A116" s="17" t="s">
        <v>186</v>
      </c>
      <c r="B116" s="15" t="s">
        <v>1116</v>
      </c>
      <c r="C116" s="15" t="s">
        <v>1117</v>
      </c>
      <c r="D116" s="15" t="s">
        <v>1118</v>
      </c>
      <c r="E116" s="50" t="str">
        <f>"0,6503"</f>
        <v>0,6503</v>
      </c>
      <c r="F116" s="15" t="s">
        <v>20</v>
      </c>
      <c r="G116" s="42" t="s">
        <v>1065</v>
      </c>
      <c r="H116" s="56" t="s">
        <v>125</v>
      </c>
      <c r="I116" s="18" t="s">
        <v>125</v>
      </c>
      <c r="J116" s="18" t="s">
        <v>125</v>
      </c>
      <c r="K116" s="17"/>
      <c r="L116" s="32">
        <v>0</v>
      </c>
      <c r="M116" s="17" t="str">
        <f>"0,0000"</f>
        <v>0,0000</v>
      </c>
      <c r="N116" s="15" t="s">
        <v>1066</v>
      </c>
    </row>
    <row r="117" spans="1:14" x14ac:dyDescent="0.2">
      <c r="A117" s="17" t="s">
        <v>186</v>
      </c>
      <c r="B117" s="15" t="s">
        <v>1119</v>
      </c>
      <c r="C117" s="15" t="s">
        <v>1120</v>
      </c>
      <c r="D117" s="15" t="s">
        <v>1121</v>
      </c>
      <c r="E117" s="50" t="str">
        <f>"0,6499"</f>
        <v>0,6499</v>
      </c>
      <c r="F117" s="15" t="s">
        <v>20</v>
      </c>
      <c r="G117" s="42" t="s">
        <v>69</v>
      </c>
      <c r="H117" s="56" t="s">
        <v>125</v>
      </c>
      <c r="I117" s="18" t="s">
        <v>125</v>
      </c>
      <c r="J117" s="18" t="s">
        <v>125</v>
      </c>
      <c r="K117" s="17"/>
      <c r="L117" s="32">
        <v>0</v>
      </c>
      <c r="M117" s="17" t="str">
        <f>"0,0000"</f>
        <v>0,0000</v>
      </c>
      <c r="N117" s="15" t="s">
        <v>1122</v>
      </c>
    </row>
    <row r="118" spans="1:14" x14ac:dyDescent="0.2">
      <c r="A118" s="17" t="s">
        <v>186</v>
      </c>
      <c r="B118" s="15" t="s">
        <v>1123</v>
      </c>
      <c r="C118" s="15" t="s">
        <v>1124</v>
      </c>
      <c r="D118" s="15" t="s">
        <v>1109</v>
      </c>
      <c r="E118" s="50" t="str">
        <f>"0,6459"</f>
        <v>0,6459</v>
      </c>
      <c r="F118" s="15" t="s">
        <v>20</v>
      </c>
      <c r="G118" s="42" t="s">
        <v>1125</v>
      </c>
      <c r="H118" s="56" t="s">
        <v>124</v>
      </c>
      <c r="I118" s="18" t="s">
        <v>124</v>
      </c>
      <c r="J118" s="18" t="s">
        <v>124</v>
      </c>
      <c r="K118" s="17"/>
      <c r="L118" s="32">
        <v>0</v>
      </c>
      <c r="M118" s="17" t="str">
        <f>"0,0000"</f>
        <v>0,0000</v>
      </c>
      <c r="N118" s="15" t="s">
        <v>1126</v>
      </c>
    </row>
    <row r="119" spans="1:14" x14ac:dyDescent="0.2">
      <c r="A119" s="17" t="s">
        <v>16</v>
      </c>
      <c r="B119" s="15" t="s">
        <v>1127</v>
      </c>
      <c r="C119" s="15" t="s">
        <v>1128</v>
      </c>
      <c r="D119" s="15" t="s">
        <v>1121</v>
      </c>
      <c r="E119" s="50" t="str">
        <f>"0,6499"</f>
        <v>0,6499</v>
      </c>
      <c r="F119" s="15" t="s">
        <v>190</v>
      </c>
      <c r="G119" s="42" t="s">
        <v>566</v>
      </c>
      <c r="H119" s="65" t="s">
        <v>90</v>
      </c>
      <c r="I119" s="16" t="s">
        <v>117</v>
      </c>
      <c r="J119" s="18" t="s">
        <v>237</v>
      </c>
      <c r="K119" s="17"/>
      <c r="L119" s="32" t="str">
        <f>"132,5"</f>
        <v>132,5</v>
      </c>
      <c r="M119" s="17" t="str">
        <f>"113,8397"</f>
        <v>113,8397</v>
      </c>
      <c r="N119" s="15" t="s">
        <v>59</v>
      </c>
    </row>
    <row r="120" spans="1:14" x14ac:dyDescent="0.2">
      <c r="A120" s="21" t="s">
        <v>16</v>
      </c>
      <c r="B120" s="19" t="s">
        <v>1129</v>
      </c>
      <c r="C120" s="19" t="s">
        <v>1130</v>
      </c>
      <c r="D120" s="19" t="s">
        <v>1131</v>
      </c>
      <c r="E120" s="51" t="str">
        <f>"0,6545"</f>
        <v>0,6545</v>
      </c>
      <c r="F120" s="19" t="s">
        <v>20</v>
      </c>
      <c r="G120" s="48" t="s">
        <v>1132</v>
      </c>
      <c r="H120" s="69" t="s">
        <v>118</v>
      </c>
      <c r="I120" s="22" t="s">
        <v>125</v>
      </c>
      <c r="J120" s="21"/>
      <c r="K120" s="21"/>
      <c r="L120" s="29" t="str">
        <f>"140,0"</f>
        <v>140,0</v>
      </c>
      <c r="M120" s="21" t="str">
        <f>"131,9472"</f>
        <v>131,9472</v>
      </c>
      <c r="N120" s="19" t="s">
        <v>59</v>
      </c>
    </row>
    <row r="121" spans="1:14" x14ac:dyDescent="0.2">
      <c r="B121" s="5" t="s">
        <v>38</v>
      </c>
    </row>
    <row r="122" spans="1:14" ht="15" x14ac:dyDescent="0.2">
      <c r="A122" s="81" t="s">
        <v>295</v>
      </c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</row>
    <row r="123" spans="1:14" x14ac:dyDescent="0.2">
      <c r="A123" s="14" t="s">
        <v>16</v>
      </c>
      <c r="B123" s="11" t="s">
        <v>1133</v>
      </c>
      <c r="C123" s="11" t="s">
        <v>1134</v>
      </c>
      <c r="D123" s="11" t="s">
        <v>1135</v>
      </c>
      <c r="E123" s="11" t="str">
        <f>"0,6203"</f>
        <v>0,6203</v>
      </c>
      <c r="F123" s="11" t="s">
        <v>20</v>
      </c>
      <c r="G123" s="11" t="s">
        <v>1065</v>
      </c>
      <c r="H123" s="13" t="s">
        <v>109</v>
      </c>
      <c r="I123" s="13" t="s">
        <v>266</v>
      </c>
      <c r="J123" s="14"/>
      <c r="K123" s="14"/>
      <c r="L123" s="28" t="str">
        <f>"162,5"</f>
        <v>162,5</v>
      </c>
      <c r="M123" s="14" t="str">
        <f>"100,7987"</f>
        <v>100,7987</v>
      </c>
      <c r="N123" s="11" t="s">
        <v>1136</v>
      </c>
    </row>
    <row r="124" spans="1:14" x14ac:dyDescent="0.2">
      <c r="A124" s="17" t="s">
        <v>60</v>
      </c>
      <c r="B124" s="15" t="s">
        <v>1137</v>
      </c>
      <c r="C124" s="15" t="s">
        <v>1138</v>
      </c>
      <c r="D124" s="15" t="s">
        <v>1139</v>
      </c>
      <c r="E124" s="15" t="str">
        <f>"0,6106"</f>
        <v>0,6106</v>
      </c>
      <c r="F124" s="15" t="s">
        <v>20</v>
      </c>
      <c r="G124" s="15" t="s">
        <v>401</v>
      </c>
      <c r="H124" s="16" t="s">
        <v>116</v>
      </c>
      <c r="I124" s="16" t="s">
        <v>90</v>
      </c>
      <c r="J124" s="18" t="s">
        <v>58</v>
      </c>
      <c r="K124" s="17"/>
      <c r="L124" s="32" t="str">
        <f>"125,0"</f>
        <v>125,0</v>
      </c>
      <c r="M124" s="17" t="str">
        <f>"76,3250"</f>
        <v>76,3250</v>
      </c>
      <c r="N124" s="15" t="s">
        <v>487</v>
      </c>
    </row>
    <row r="125" spans="1:14" x14ac:dyDescent="0.2">
      <c r="A125" s="17" t="s">
        <v>16</v>
      </c>
      <c r="B125" s="15" t="s">
        <v>1140</v>
      </c>
      <c r="C125" s="15" t="s">
        <v>1141</v>
      </c>
      <c r="D125" s="15" t="s">
        <v>1142</v>
      </c>
      <c r="E125" s="15" t="str">
        <f>"0,6113"</f>
        <v>0,6113</v>
      </c>
      <c r="F125" s="15" t="s">
        <v>20</v>
      </c>
      <c r="G125" s="15" t="s">
        <v>69</v>
      </c>
      <c r="H125" s="16" t="s">
        <v>125</v>
      </c>
      <c r="I125" s="16" t="s">
        <v>136</v>
      </c>
      <c r="J125" s="18" t="s">
        <v>322</v>
      </c>
      <c r="K125" s="17"/>
      <c r="L125" s="32" t="str">
        <f>"150,0"</f>
        <v>150,0</v>
      </c>
      <c r="M125" s="17" t="str">
        <f>"91,6950"</f>
        <v>91,6950</v>
      </c>
      <c r="N125" s="15" t="s">
        <v>823</v>
      </c>
    </row>
    <row r="126" spans="1:14" x14ac:dyDescent="0.2">
      <c r="A126" s="17" t="s">
        <v>16</v>
      </c>
      <c r="B126" s="15" t="s">
        <v>796</v>
      </c>
      <c r="C126" s="15" t="s">
        <v>797</v>
      </c>
      <c r="D126" s="15" t="s">
        <v>798</v>
      </c>
      <c r="E126" s="15" t="str">
        <f>"0,6166"</f>
        <v>0,6166</v>
      </c>
      <c r="F126" s="15" t="s">
        <v>20</v>
      </c>
      <c r="G126" s="15" t="s">
        <v>279</v>
      </c>
      <c r="H126" s="16" t="s">
        <v>123</v>
      </c>
      <c r="I126" s="16" t="s">
        <v>124</v>
      </c>
      <c r="J126" s="16" t="s">
        <v>575</v>
      </c>
      <c r="K126" s="17"/>
      <c r="L126" s="32" t="str">
        <f>"192,5"</f>
        <v>192,5</v>
      </c>
      <c r="M126" s="17" t="str">
        <f>"118,6955"</f>
        <v>118,6955</v>
      </c>
      <c r="N126" s="15" t="s">
        <v>799</v>
      </c>
    </row>
    <row r="127" spans="1:14" x14ac:dyDescent="0.2">
      <c r="A127" s="17" t="s">
        <v>60</v>
      </c>
      <c r="B127" s="15" t="s">
        <v>1143</v>
      </c>
      <c r="C127" s="15" t="s">
        <v>1144</v>
      </c>
      <c r="D127" s="15" t="s">
        <v>298</v>
      </c>
      <c r="E127" s="15" t="str">
        <f>"0,6111"</f>
        <v>0,6111</v>
      </c>
      <c r="F127" s="15" t="s">
        <v>20</v>
      </c>
      <c r="G127" s="15" t="s">
        <v>579</v>
      </c>
      <c r="H127" s="16" t="s">
        <v>124</v>
      </c>
      <c r="I127" s="18" t="s">
        <v>160</v>
      </c>
      <c r="J127" s="18" t="s">
        <v>160</v>
      </c>
      <c r="K127" s="17"/>
      <c r="L127" s="32" t="str">
        <f>"190,0"</f>
        <v>190,0</v>
      </c>
      <c r="M127" s="17" t="str">
        <f>"116,1090"</f>
        <v>116,1090</v>
      </c>
      <c r="N127" s="15" t="s">
        <v>59</v>
      </c>
    </row>
    <row r="128" spans="1:14" x14ac:dyDescent="0.2">
      <c r="A128" s="17" t="s">
        <v>65</v>
      </c>
      <c r="B128" s="15" t="s">
        <v>1145</v>
      </c>
      <c r="C128" s="15" t="s">
        <v>1146</v>
      </c>
      <c r="D128" s="15" t="s">
        <v>1147</v>
      </c>
      <c r="E128" s="15" t="str">
        <f>"0,6254"</f>
        <v>0,6254</v>
      </c>
      <c r="F128" s="15" t="s">
        <v>20</v>
      </c>
      <c r="G128" s="15" t="s">
        <v>69</v>
      </c>
      <c r="H128" s="16" t="s">
        <v>136</v>
      </c>
      <c r="I128" s="16" t="s">
        <v>266</v>
      </c>
      <c r="J128" s="16" t="s">
        <v>99</v>
      </c>
      <c r="K128" s="17"/>
      <c r="L128" s="32" t="str">
        <f>"170,0"</f>
        <v>170,0</v>
      </c>
      <c r="M128" s="17" t="str">
        <f>"106,3180"</f>
        <v>106,3180</v>
      </c>
      <c r="N128" s="15" t="s">
        <v>59</v>
      </c>
    </row>
    <row r="129" spans="1:14" x14ac:dyDescent="0.2">
      <c r="A129" s="17" t="s">
        <v>182</v>
      </c>
      <c r="B129" s="15" t="s">
        <v>1148</v>
      </c>
      <c r="C129" s="15" t="s">
        <v>1149</v>
      </c>
      <c r="D129" s="15" t="s">
        <v>1150</v>
      </c>
      <c r="E129" s="15" t="str">
        <f>"0,6131"</f>
        <v>0,6131</v>
      </c>
      <c r="F129" s="15" t="s">
        <v>20</v>
      </c>
      <c r="G129" s="15" t="s">
        <v>791</v>
      </c>
      <c r="H129" s="16" t="s">
        <v>109</v>
      </c>
      <c r="I129" s="16" t="s">
        <v>266</v>
      </c>
      <c r="J129" s="16" t="s">
        <v>227</v>
      </c>
      <c r="K129" s="17"/>
      <c r="L129" s="32" t="str">
        <f>"167,5"</f>
        <v>167,5</v>
      </c>
      <c r="M129" s="17" t="str">
        <f>"102,6942"</f>
        <v>102,6942</v>
      </c>
      <c r="N129" s="15" t="s">
        <v>1151</v>
      </c>
    </row>
    <row r="130" spans="1:14" x14ac:dyDescent="0.2">
      <c r="A130" s="17" t="s">
        <v>276</v>
      </c>
      <c r="B130" s="15" t="s">
        <v>1152</v>
      </c>
      <c r="C130" s="15" t="s">
        <v>1153</v>
      </c>
      <c r="D130" s="15" t="s">
        <v>1154</v>
      </c>
      <c r="E130" s="15" t="str">
        <f>"0,6191"</f>
        <v>0,6191</v>
      </c>
      <c r="F130" s="15" t="s">
        <v>20</v>
      </c>
      <c r="G130" s="15" t="s">
        <v>1155</v>
      </c>
      <c r="H130" s="16" t="s">
        <v>83</v>
      </c>
      <c r="I130" s="16" t="s">
        <v>118</v>
      </c>
      <c r="J130" s="16" t="s">
        <v>125</v>
      </c>
      <c r="K130" s="17"/>
      <c r="L130" s="32" t="str">
        <f>"145,0"</f>
        <v>145,0</v>
      </c>
      <c r="M130" s="17" t="str">
        <f>"89,7695"</f>
        <v>89,7695</v>
      </c>
      <c r="N130" s="15" t="s">
        <v>59</v>
      </c>
    </row>
    <row r="131" spans="1:14" x14ac:dyDescent="0.2">
      <c r="A131" s="17" t="s">
        <v>281</v>
      </c>
      <c r="B131" s="15" t="s">
        <v>1156</v>
      </c>
      <c r="C131" s="15" t="s">
        <v>840</v>
      </c>
      <c r="D131" s="15" t="s">
        <v>1157</v>
      </c>
      <c r="E131" s="15" t="str">
        <f>"0,6126"</f>
        <v>0,6126</v>
      </c>
      <c r="F131" s="15" t="s">
        <v>20</v>
      </c>
      <c r="G131" s="15" t="s">
        <v>879</v>
      </c>
      <c r="H131" s="16" t="s">
        <v>58</v>
      </c>
      <c r="I131" s="16" t="s">
        <v>83</v>
      </c>
      <c r="J131" s="16" t="s">
        <v>118</v>
      </c>
      <c r="K131" s="17"/>
      <c r="L131" s="32" t="str">
        <f>"140,0"</f>
        <v>140,0</v>
      </c>
      <c r="M131" s="17" t="str">
        <f>"85,7640"</f>
        <v>85,7640</v>
      </c>
      <c r="N131" s="15" t="s">
        <v>1158</v>
      </c>
    </row>
    <row r="132" spans="1:14" x14ac:dyDescent="0.2">
      <c r="A132" s="17" t="s">
        <v>186</v>
      </c>
      <c r="B132" s="15" t="s">
        <v>796</v>
      </c>
      <c r="C132" s="15" t="s">
        <v>797</v>
      </c>
      <c r="D132" s="15" t="s">
        <v>798</v>
      </c>
      <c r="E132" s="15" t="str">
        <f>"0,6166"</f>
        <v>0,6166</v>
      </c>
      <c r="F132" s="15" t="s">
        <v>20</v>
      </c>
      <c r="G132" s="15" t="s">
        <v>279</v>
      </c>
      <c r="H132" s="18" t="s">
        <v>160</v>
      </c>
      <c r="I132" s="18" t="s">
        <v>160</v>
      </c>
      <c r="J132" s="18" t="s">
        <v>160</v>
      </c>
      <c r="K132" s="17"/>
      <c r="L132" s="32">
        <v>0</v>
      </c>
      <c r="M132" s="17" t="str">
        <f>"0,0000"</f>
        <v>0,0000</v>
      </c>
      <c r="N132" s="15" t="s">
        <v>799</v>
      </c>
    </row>
    <row r="133" spans="1:14" x14ac:dyDescent="0.2">
      <c r="A133" s="17" t="s">
        <v>186</v>
      </c>
      <c r="B133" s="15" t="s">
        <v>1159</v>
      </c>
      <c r="C133" s="15" t="s">
        <v>1160</v>
      </c>
      <c r="D133" s="15" t="s">
        <v>310</v>
      </c>
      <c r="E133" s="15" t="str">
        <f>"0,6155"</f>
        <v>0,6155</v>
      </c>
      <c r="F133" s="15" t="s">
        <v>20</v>
      </c>
      <c r="G133" s="15" t="s">
        <v>561</v>
      </c>
      <c r="H133" s="18" t="s">
        <v>137</v>
      </c>
      <c r="I133" s="18" t="s">
        <v>137</v>
      </c>
      <c r="J133" s="17"/>
      <c r="K133" s="17"/>
      <c r="L133" s="32">
        <v>0</v>
      </c>
      <c r="M133" s="17" t="str">
        <f>"0,0000"</f>
        <v>0,0000</v>
      </c>
      <c r="N133" s="15" t="s">
        <v>59</v>
      </c>
    </row>
    <row r="134" spans="1:14" x14ac:dyDescent="0.2">
      <c r="A134" s="17" t="s">
        <v>186</v>
      </c>
      <c r="B134" s="15" t="s">
        <v>1161</v>
      </c>
      <c r="C134" s="15" t="s">
        <v>1162</v>
      </c>
      <c r="D134" s="15" t="s">
        <v>1163</v>
      </c>
      <c r="E134" s="15" t="str">
        <f>"0,6144"</f>
        <v>0,6144</v>
      </c>
      <c r="F134" s="15" t="s">
        <v>20</v>
      </c>
      <c r="G134" s="15" t="s">
        <v>21</v>
      </c>
      <c r="H134" s="18" t="s">
        <v>136</v>
      </c>
      <c r="I134" s="18" t="s">
        <v>136</v>
      </c>
      <c r="J134" s="18" t="s">
        <v>136</v>
      </c>
      <c r="K134" s="17"/>
      <c r="L134" s="32">
        <v>0</v>
      </c>
      <c r="M134" s="17" t="str">
        <f>"0,0000"</f>
        <v>0,0000</v>
      </c>
      <c r="N134" s="15" t="s">
        <v>31</v>
      </c>
    </row>
    <row r="135" spans="1:14" x14ac:dyDescent="0.2">
      <c r="A135" s="17" t="s">
        <v>16</v>
      </c>
      <c r="B135" s="15" t="s">
        <v>1164</v>
      </c>
      <c r="C135" s="15" t="s">
        <v>1165</v>
      </c>
      <c r="D135" s="15" t="s">
        <v>1166</v>
      </c>
      <c r="E135" s="15" t="str">
        <f>"0,6101"</f>
        <v>0,6101</v>
      </c>
      <c r="F135" s="15" t="s">
        <v>20</v>
      </c>
      <c r="G135" s="15" t="s">
        <v>69</v>
      </c>
      <c r="H135" s="16" t="s">
        <v>99</v>
      </c>
      <c r="I135" s="18" t="s">
        <v>123</v>
      </c>
      <c r="J135" s="18" t="s">
        <v>123</v>
      </c>
      <c r="K135" s="17"/>
      <c r="L135" s="32" t="str">
        <f>"170,0"</f>
        <v>170,0</v>
      </c>
      <c r="M135" s="17" t="str">
        <f>"106,6211"</f>
        <v>106,6211</v>
      </c>
      <c r="N135" s="15" t="s">
        <v>59</v>
      </c>
    </row>
    <row r="136" spans="1:14" x14ac:dyDescent="0.2">
      <c r="A136" s="21" t="s">
        <v>16</v>
      </c>
      <c r="B136" s="19" t="s">
        <v>1167</v>
      </c>
      <c r="C136" s="19" t="s">
        <v>1168</v>
      </c>
      <c r="D136" s="19" t="s">
        <v>1169</v>
      </c>
      <c r="E136" s="19" t="str">
        <f>"0,6118"</f>
        <v>0,6118</v>
      </c>
      <c r="F136" s="19" t="s">
        <v>20</v>
      </c>
      <c r="G136" s="19" t="s">
        <v>69</v>
      </c>
      <c r="H136" s="22" t="s">
        <v>83</v>
      </c>
      <c r="I136" s="22" t="s">
        <v>118</v>
      </c>
      <c r="J136" s="20" t="s">
        <v>118</v>
      </c>
      <c r="K136" s="21"/>
      <c r="L136" s="29" t="str">
        <f>"140,0"</f>
        <v>140,0</v>
      </c>
      <c r="M136" s="21" t="str">
        <f>"105,1807"</f>
        <v>105,1807</v>
      </c>
      <c r="N136" s="19" t="s">
        <v>59</v>
      </c>
    </row>
    <row r="137" spans="1:14" x14ac:dyDescent="0.2">
      <c r="B137" s="5" t="s">
        <v>38</v>
      </c>
    </row>
    <row r="138" spans="1:14" ht="15" x14ac:dyDescent="0.2">
      <c r="A138" s="81" t="s">
        <v>323</v>
      </c>
      <c r="B138" s="81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</row>
    <row r="139" spans="1:14" x14ac:dyDescent="0.2">
      <c r="A139" s="14" t="s">
        <v>16</v>
      </c>
      <c r="B139" s="11" t="s">
        <v>1170</v>
      </c>
      <c r="C139" s="11" t="s">
        <v>1171</v>
      </c>
      <c r="D139" s="11" t="s">
        <v>1172</v>
      </c>
      <c r="E139" s="11" t="str">
        <f>"0,5982"</f>
        <v>0,5982</v>
      </c>
      <c r="F139" s="11" t="s">
        <v>20</v>
      </c>
      <c r="G139" s="11" t="s">
        <v>879</v>
      </c>
      <c r="H139" s="13" t="s">
        <v>99</v>
      </c>
      <c r="I139" s="13" t="s">
        <v>137</v>
      </c>
      <c r="J139" s="13" t="s">
        <v>123</v>
      </c>
      <c r="K139" s="14"/>
      <c r="L139" s="28" t="str">
        <f>"180,0"</f>
        <v>180,0</v>
      </c>
      <c r="M139" s="14" t="str">
        <f>"107,6760"</f>
        <v>107,6760</v>
      </c>
      <c r="N139" s="11" t="s">
        <v>59</v>
      </c>
    </row>
    <row r="140" spans="1:14" x14ac:dyDescent="0.2">
      <c r="A140" s="17" t="s">
        <v>16</v>
      </c>
      <c r="B140" s="15" t="s">
        <v>800</v>
      </c>
      <c r="C140" s="15" t="s">
        <v>801</v>
      </c>
      <c r="D140" s="15" t="s">
        <v>802</v>
      </c>
      <c r="E140" s="15" t="str">
        <f>"0,5964"</f>
        <v>0,5964</v>
      </c>
      <c r="F140" s="15" t="s">
        <v>171</v>
      </c>
      <c r="G140" s="15" t="s">
        <v>803</v>
      </c>
      <c r="H140" s="16" t="s">
        <v>99</v>
      </c>
      <c r="I140" s="16" t="s">
        <v>137</v>
      </c>
      <c r="J140" s="16" t="s">
        <v>123</v>
      </c>
      <c r="K140" s="17"/>
      <c r="L140" s="32" t="str">
        <f>"180,0"</f>
        <v>180,0</v>
      </c>
      <c r="M140" s="17" t="str">
        <f>"107,3520"</f>
        <v>107,3520</v>
      </c>
      <c r="N140" s="15" t="s">
        <v>804</v>
      </c>
    </row>
    <row r="141" spans="1:14" x14ac:dyDescent="0.2">
      <c r="A141" s="17" t="s">
        <v>60</v>
      </c>
      <c r="B141" s="15" t="s">
        <v>1173</v>
      </c>
      <c r="C141" s="15" t="s">
        <v>1174</v>
      </c>
      <c r="D141" s="15" t="s">
        <v>1175</v>
      </c>
      <c r="E141" s="15" t="str">
        <f>"0,5928"</f>
        <v>0,5928</v>
      </c>
      <c r="F141" s="15" t="s">
        <v>20</v>
      </c>
      <c r="G141" s="15" t="s">
        <v>69</v>
      </c>
      <c r="H141" s="16" t="s">
        <v>312</v>
      </c>
      <c r="I141" s="16" t="s">
        <v>136</v>
      </c>
      <c r="J141" s="16" t="s">
        <v>322</v>
      </c>
      <c r="K141" s="17"/>
      <c r="L141" s="32" t="str">
        <f>"152,5"</f>
        <v>152,5</v>
      </c>
      <c r="M141" s="17" t="str">
        <f>"90,4020"</f>
        <v>90,4020</v>
      </c>
      <c r="N141" s="15" t="s">
        <v>59</v>
      </c>
    </row>
    <row r="142" spans="1:14" x14ac:dyDescent="0.2">
      <c r="A142" s="17" t="s">
        <v>16</v>
      </c>
      <c r="B142" s="15" t="s">
        <v>1176</v>
      </c>
      <c r="C142" s="15" t="s">
        <v>1177</v>
      </c>
      <c r="D142" s="15" t="s">
        <v>1178</v>
      </c>
      <c r="E142" s="15" t="str">
        <f>"0,5926"</f>
        <v>0,5926</v>
      </c>
      <c r="F142" s="15" t="s">
        <v>20</v>
      </c>
      <c r="G142" s="15" t="s">
        <v>579</v>
      </c>
      <c r="H142" s="16" t="s">
        <v>227</v>
      </c>
      <c r="I142" s="16" t="s">
        <v>99</v>
      </c>
      <c r="J142" s="18" t="s">
        <v>137</v>
      </c>
      <c r="K142" s="17"/>
      <c r="L142" s="32" t="str">
        <f>"170,0"</f>
        <v>170,0</v>
      </c>
      <c r="M142" s="17" t="str">
        <f>"110,4132"</f>
        <v>110,4132</v>
      </c>
      <c r="N142" s="15" t="s">
        <v>1179</v>
      </c>
    </row>
    <row r="143" spans="1:14" x14ac:dyDescent="0.2">
      <c r="A143" s="17" t="s">
        <v>60</v>
      </c>
      <c r="B143" s="15" t="s">
        <v>330</v>
      </c>
      <c r="C143" s="15" t="s">
        <v>331</v>
      </c>
      <c r="D143" s="15" t="s">
        <v>332</v>
      </c>
      <c r="E143" s="15" t="str">
        <f>"0,5910"</f>
        <v>0,5910</v>
      </c>
      <c r="F143" s="15" t="s">
        <v>20</v>
      </c>
      <c r="G143" s="15" t="s">
        <v>279</v>
      </c>
      <c r="H143" s="16" t="s">
        <v>118</v>
      </c>
      <c r="I143" s="16" t="s">
        <v>136</v>
      </c>
      <c r="J143" s="16" t="s">
        <v>98</v>
      </c>
      <c r="K143" s="17"/>
      <c r="L143" s="32" t="str">
        <f>"160,0"</f>
        <v>160,0</v>
      </c>
      <c r="M143" s="17" t="str">
        <f>"98,7206"</f>
        <v>98,7206</v>
      </c>
      <c r="N143" s="15" t="s">
        <v>59</v>
      </c>
    </row>
    <row r="144" spans="1:14" x14ac:dyDescent="0.2">
      <c r="A144" s="17" t="s">
        <v>65</v>
      </c>
      <c r="B144" s="15" t="s">
        <v>1180</v>
      </c>
      <c r="C144" s="15" t="s">
        <v>1181</v>
      </c>
      <c r="D144" s="15" t="s">
        <v>1182</v>
      </c>
      <c r="E144" s="15" t="str">
        <f>"0,5924"</f>
        <v>0,5924</v>
      </c>
      <c r="F144" s="15" t="s">
        <v>20</v>
      </c>
      <c r="G144" s="15" t="s">
        <v>69</v>
      </c>
      <c r="H144" s="16" t="s">
        <v>91</v>
      </c>
      <c r="I144" s="16" t="s">
        <v>312</v>
      </c>
      <c r="J144" s="18" t="s">
        <v>136</v>
      </c>
      <c r="K144" s="17"/>
      <c r="L144" s="32" t="str">
        <f>"147,5"</f>
        <v>147,5</v>
      </c>
      <c r="M144" s="17" t="str">
        <f>"88,6023"</f>
        <v>88,6023</v>
      </c>
      <c r="N144" s="15" t="s">
        <v>59</v>
      </c>
    </row>
    <row r="145" spans="1:14" x14ac:dyDescent="0.2">
      <c r="A145" s="21" t="s">
        <v>16</v>
      </c>
      <c r="B145" s="19" t="s">
        <v>1183</v>
      </c>
      <c r="C145" s="19" t="s">
        <v>1184</v>
      </c>
      <c r="D145" s="19" t="s">
        <v>1185</v>
      </c>
      <c r="E145" s="19" t="str">
        <f>"0,5945"</f>
        <v>0,5945</v>
      </c>
      <c r="F145" s="19" t="s">
        <v>20</v>
      </c>
      <c r="G145" s="19" t="s">
        <v>69</v>
      </c>
      <c r="H145" s="20" t="s">
        <v>83</v>
      </c>
      <c r="I145" s="20" t="s">
        <v>118</v>
      </c>
      <c r="J145" s="20" t="s">
        <v>125</v>
      </c>
      <c r="K145" s="21"/>
      <c r="L145" s="29" t="str">
        <f>"145,0"</f>
        <v>145,0</v>
      </c>
      <c r="M145" s="21" t="str">
        <f>"126,7177"</f>
        <v>126,7177</v>
      </c>
      <c r="N145" s="19" t="s">
        <v>59</v>
      </c>
    </row>
    <row r="146" spans="1:14" x14ac:dyDescent="0.2">
      <c r="B146" s="5" t="s">
        <v>38</v>
      </c>
    </row>
    <row r="147" spans="1:14" ht="15" x14ac:dyDescent="0.2">
      <c r="A147" s="81" t="s">
        <v>333</v>
      </c>
      <c r="B147" s="81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4" x14ac:dyDescent="0.2">
      <c r="A148" s="14" t="s">
        <v>16</v>
      </c>
      <c r="B148" s="11" t="s">
        <v>1186</v>
      </c>
      <c r="C148" s="11" t="s">
        <v>1187</v>
      </c>
      <c r="D148" s="11" t="s">
        <v>1188</v>
      </c>
      <c r="E148" s="11" t="str">
        <f>"0,5795"</f>
        <v>0,5795</v>
      </c>
      <c r="F148" s="11" t="s">
        <v>20</v>
      </c>
      <c r="G148" s="11" t="s">
        <v>69</v>
      </c>
      <c r="H148" s="13" t="s">
        <v>160</v>
      </c>
      <c r="I148" s="13" t="s">
        <v>143</v>
      </c>
      <c r="J148" s="13" t="s">
        <v>100</v>
      </c>
      <c r="K148" s="14"/>
      <c r="L148" s="28" t="str">
        <f>"205,0"</f>
        <v>205,0</v>
      </c>
      <c r="M148" s="14" t="str">
        <f>"118,7975"</f>
        <v>118,7975</v>
      </c>
      <c r="N148" s="11" t="s">
        <v>59</v>
      </c>
    </row>
    <row r="149" spans="1:14" x14ac:dyDescent="0.2">
      <c r="A149" s="17" t="s">
        <v>60</v>
      </c>
      <c r="B149" s="15" t="s">
        <v>1189</v>
      </c>
      <c r="C149" s="15" t="s">
        <v>1190</v>
      </c>
      <c r="D149" s="15" t="s">
        <v>1191</v>
      </c>
      <c r="E149" s="15" t="str">
        <f>"0,5878"</f>
        <v>0,5878</v>
      </c>
      <c r="F149" s="15" t="s">
        <v>20</v>
      </c>
      <c r="G149" s="15" t="s">
        <v>21</v>
      </c>
      <c r="H149" s="16" t="s">
        <v>143</v>
      </c>
      <c r="I149" s="18" t="s">
        <v>100</v>
      </c>
      <c r="J149" s="18" t="s">
        <v>100</v>
      </c>
      <c r="K149" s="17"/>
      <c r="L149" s="32" t="str">
        <f>"200,0"</f>
        <v>200,0</v>
      </c>
      <c r="M149" s="17" t="str">
        <f>"117,5600"</f>
        <v>117,5600</v>
      </c>
      <c r="N149" s="15" t="s">
        <v>1192</v>
      </c>
    </row>
    <row r="150" spans="1:14" x14ac:dyDescent="0.2">
      <c r="A150" s="17" t="s">
        <v>186</v>
      </c>
      <c r="B150" s="15" t="s">
        <v>1193</v>
      </c>
      <c r="C150" s="15" t="s">
        <v>1194</v>
      </c>
      <c r="D150" s="15" t="s">
        <v>1195</v>
      </c>
      <c r="E150" s="15" t="str">
        <f>"0,5768"</f>
        <v>0,5768</v>
      </c>
      <c r="F150" s="15" t="s">
        <v>20</v>
      </c>
      <c r="G150" s="15" t="s">
        <v>212</v>
      </c>
      <c r="H150" s="18" t="s">
        <v>123</v>
      </c>
      <c r="I150" s="18" t="s">
        <v>123</v>
      </c>
      <c r="J150" s="17"/>
      <c r="K150" s="17"/>
      <c r="L150" s="32">
        <v>0</v>
      </c>
      <c r="M150" s="17" t="str">
        <f>"0,0000"</f>
        <v>0,0000</v>
      </c>
      <c r="N150" s="15" t="s">
        <v>59</v>
      </c>
    </row>
    <row r="151" spans="1:14" x14ac:dyDescent="0.2">
      <c r="A151" s="17" t="s">
        <v>186</v>
      </c>
      <c r="B151" s="15" t="s">
        <v>1196</v>
      </c>
      <c r="C151" s="15" t="s">
        <v>1197</v>
      </c>
      <c r="D151" s="15" t="s">
        <v>1198</v>
      </c>
      <c r="E151" s="15" t="str">
        <f>"0,5732"</f>
        <v>0,5732</v>
      </c>
      <c r="F151" s="15" t="s">
        <v>20</v>
      </c>
      <c r="G151" s="15" t="s">
        <v>69</v>
      </c>
      <c r="H151" s="18" t="s">
        <v>143</v>
      </c>
      <c r="I151" s="18" t="s">
        <v>143</v>
      </c>
      <c r="J151" s="18" t="s">
        <v>143</v>
      </c>
      <c r="K151" s="17"/>
      <c r="L151" s="32">
        <v>0</v>
      </c>
      <c r="M151" s="17" t="str">
        <f>"0,0000"</f>
        <v>0,0000</v>
      </c>
      <c r="N151" s="15" t="s">
        <v>1199</v>
      </c>
    </row>
    <row r="152" spans="1:14" x14ac:dyDescent="0.2">
      <c r="A152" s="17" t="s">
        <v>16</v>
      </c>
      <c r="B152" s="15" t="s">
        <v>1189</v>
      </c>
      <c r="C152" s="15" t="s">
        <v>1200</v>
      </c>
      <c r="D152" s="15" t="s">
        <v>1191</v>
      </c>
      <c r="E152" s="15" t="str">
        <f>"0,5878"</f>
        <v>0,5878</v>
      </c>
      <c r="F152" s="15" t="s">
        <v>20</v>
      </c>
      <c r="G152" s="15" t="s">
        <v>21</v>
      </c>
      <c r="H152" s="16" t="s">
        <v>143</v>
      </c>
      <c r="I152" s="18" t="s">
        <v>100</v>
      </c>
      <c r="J152" s="18" t="s">
        <v>100</v>
      </c>
      <c r="K152" s="17"/>
      <c r="L152" s="32" t="str">
        <f>"200,0"</f>
        <v>200,0</v>
      </c>
      <c r="M152" s="17" t="str">
        <f>"119,2058"</f>
        <v>119,2058</v>
      </c>
      <c r="N152" s="15" t="s">
        <v>1192</v>
      </c>
    </row>
    <row r="153" spans="1:14" x14ac:dyDescent="0.2">
      <c r="A153" s="21" t="s">
        <v>60</v>
      </c>
      <c r="B153" s="19" t="s">
        <v>1201</v>
      </c>
      <c r="C153" s="19" t="s">
        <v>1202</v>
      </c>
      <c r="D153" s="19" t="s">
        <v>1203</v>
      </c>
      <c r="E153" s="19" t="str">
        <f>"0,5735"</f>
        <v>0,5735</v>
      </c>
      <c r="F153" s="19" t="s">
        <v>190</v>
      </c>
      <c r="G153" s="19" t="s">
        <v>566</v>
      </c>
      <c r="H153" s="20" t="s">
        <v>228</v>
      </c>
      <c r="I153" s="20" t="s">
        <v>229</v>
      </c>
      <c r="J153" s="20" t="s">
        <v>123</v>
      </c>
      <c r="K153" s="21"/>
      <c r="L153" s="29" t="str">
        <f>"180,0"</f>
        <v>180,0</v>
      </c>
      <c r="M153" s="21" t="str">
        <f>"113,1401"</f>
        <v>113,1401</v>
      </c>
      <c r="N153" s="19" t="s">
        <v>59</v>
      </c>
    </row>
    <row r="154" spans="1:14" x14ac:dyDescent="0.2">
      <c r="B154" s="5" t="s">
        <v>38</v>
      </c>
    </row>
    <row r="155" spans="1:14" ht="15" x14ac:dyDescent="0.2">
      <c r="A155" s="81" t="s">
        <v>503</v>
      </c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</row>
    <row r="156" spans="1:14" x14ac:dyDescent="0.2">
      <c r="A156" s="68" t="s">
        <v>203</v>
      </c>
      <c r="B156" s="11" t="s">
        <v>1204</v>
      </c>
      <c r="C156" s="11" t="s">
        <v>1205</v>
      </c>
      <c r="D156" s="11" t="s">
        <v>1206</v>
      </c>
      <c r="E156" s="11" t="str">
        <f>"0,5670"</f>
        <v>0,5670</v>
      </c>
      <c r="F156" s="11" t="s">
        <v>20</v>
      </c>
      <c r="G156" s="11" t="s">
        <v>1207</v>
      </c>
      <c r="H156" s="13" t="s">
        <v>101</v>
      </c>
      <c r="I156" s="13" t="s">
        <v>145</v>
      </c>
      <c r="J156" s="12" t="s">
        <v>153</v>
      </c>
      <c r="K156" s="14"/>
      <c r="L156" s="28" t="str">
        <f>"225,0"</f>
        <v>225,0</v>
      </c>
      <c r="M156" s="14" t="str">
        <f>"127,5750"</f>
        <v>127,5750</v>
      </c>
      <c r="N156" s="11" t="s">
        <v>59</v>
      </c>
    </row>
    <row r="157" spans="1:14" x14ac:dyDescent="0.2">
      <c r="A157" s="17" t="s">
        <v>16</v>
      </c>
      <c r="B157" s="15" t="s">
        <v>1208</v>
      </c>
      <c r="C157" s="15" t="s">
        <v>1209</v>
      </c>
      <c r="D157" s="15" t="s">
        <v>1210</v>
      </c>
      <c r="E157" s="15" t="str">
        <f>"0,5674"</f>
        <v>0,5674</v>
      </c>
      <c r="F157" s="15" t="s">
        <v>20</v>
      </c>
      <c r="G157" s="15" t="s">
        <v>69</v>
      </c>
      <c r="H157" s="18" t="s">
        <v>160</v>
      </c>
      <c r="I157" s="16" t="s">
        <v>160</v>
      </c>
      <c r="J157" s="18" t="s">
        <v>143</v>
      </c>
      <c r="K157" s="17"/>
      <c r="L157" s="32" t="str">
        <f>"195,0"</f>
        <v>195,0</v>
      </c>
      <c r="M157" s="17" t="str">
        <f>"110,6430"</f>
        <v>110,6430</v>
      </c>
      <c r="N157" s="15" t="s">
        <v>59</v>
      </c>
    </row>
    <row r="158" spans="1:14" x14ac:dyDescent="0.2">
      <c r="A158" s="17" t="s">
        <v>60</v>
      </c>
      <c r="B158" s="15" t="s">
        <v>1211</v>
      </c>
      <c r="C158" s="15" t="s">
        <v>1212</v>
      </c>
      <c r="D158" s="15" t="s">
        <v>1213</v>
      </c>
      <c r="E158" s="15" t="str">
        <f>"0,5677"</f>
        <v>0,5677</v>
      </c>
      <c r="F158" s="15" t="s">
        <v>20</v>
      </c>
      <c r="G158" s="15" t="s">
        <v>69</v>
      </c>
      <c r="H158" s="16" t="s">
        <v>137</v>
      </c>
      <c r="I158" s="18" t="s">
        <v>123</v>
      </c>
      <c r="J158" s="16" t="s">
        <v>123</v>
      </c>
      <c r="K158" s="17"/>
      <c r="L158" s="32" t="str">
        <f>"180,0"</f>
        <v>180,0</v>
      </c>
      <c r="M158" s="17" t="str">
        <f>"102,1860"</f>
        <v>102,1860</v>
      </c>
      <c r="N158" s="15" t="s">
        <v>59</v>
      </c>
    </row>
    <row r="159" spans="1:14" x14ac:dyDescent="0.2">
      <c r="A159" s="21" t="s">
        <v>16</v>
      </c>
      <c r="B159" s="19" t="s">
        <v>1211</v>
      </c>
      <c r="C159" s="19" t="s">
        <v>1214</v>
      </c>
      <c r="D159" s="19" t="s">
        <v>1213</v>
      </c>
      <c r="E159" s="19" t="str">
        <f>"0,5677"</f>
        <v>0,5677</v>
      </c>
      <c r="F159" s="19" t="s">
        <v>20</v>
      </c>
      <c r="G159" s="19" t="s">
        <v>69</v>
      </c>
      <c r="H159" s="20" t="s">
        <v>137</v>
      </c>
      <c r="I159" s="22" t="s">
        <v>123</v>
      </c>
      <c r="J159" s="20" t="s">
        <v>123</v>
      </c>
      <c r="K159" s="21"/>
      <c r="L159" s="29" t="str">
        <f>"180,0"</f>
        <v>180,0</v>
      </c>
      <c r="M159" s="21" t="str">
        <f>"102,1860"</f>
        <v>102,1860</v>
      </c>
      <c r="N159" s="19" t="s">
        <v>59</v>
      </c>
    </row>
    <row r="160" spans="1:14" x14ac:dyDescent="0.2">
      <c r="B160" s="5" t="s">
        <v>38</v>
      </c>
    </row>
    <row r="161" spans="2:7" ht="15" x14ac:dyDescent="0.2">
      <c r="B161" s="5" t="s">
        <v>38</v>
      </c>
      <c r="F161" s="23"/>
    </row>
    <row r="162" spans="2:7" x14ac:dyDescent="0.2">
      <c r="B162" s="5" t="s">
        <v>38</v>
      </c>
    </row>
    <row r="163" spans="2:7" ht="18" x14ac:dyDescent="0.2">
      <c r="B163" s="24" t="s">
        <v>340</v>
      </c>
      <c r="C163" s="24"/>
      <c r="G163" s="3"/>
    </row>
    <row r="164" spans="2:7" ht="15" x14ac:dyDescent="0.2">
      <c r="B164" s="73" t="s">
        <v>519</v>
      </c>
      <c r="C164" s="73"/>
      <c r="G164" s="3"/>
    </row>
    <row r="165" spans="2:7" ht="14.25" x14ac:dyDescent="0.2">
      <c r="B165" s="25"/>
      <c r="C165" s="25" t="s">
        <v>358</v>
      </c>
      <c r="G165" s="3"/>
    </row>
    <row r="166" spans="2:7" ht="15" x14ac:dyDescent="0.2">
      <c r="B166" s="4" t="s">
        <v>343</v>
      </c>
      <c r="C166" s="4" t="s">
        <v>344</v>
      </c>
      <c r="D166" s="4" t="s">
        <v>345</v>
      </c>
      <c r="E166" s="4" t="s">
        <v>861</v>
      </c>
      <c r="F166" s="4" t="s">
        <v>347</v>
      </c>
      <c r="G166" s="3"/>
    </row>
    <row r="167" spans="2:7" x14ac:dyDescent="0.2">
      <c r="B167" s="5" t="s">
        <v>904</v>
      </c>
      <c r="C167" s="5" t="s">
        <v>358</v>
      </c>
      <c r="D167" s="6" t="s">
        <v>349</v>
      </c>
      <c r="E167" s="6" t="s">
        <v>37</v>
      </c>
      <c r="F167" s="6" t="s">
        <v>1215</v>
      </c>
      <c r="G167" s="3"/>
    </row>
    <row r="168" spans="2:7" x14ac:dyDescent="0.2">
      <c r="B168" s="5" t="s">
        <v>862</v>
      </c>
      <c r="C168" s="5" t="s">
        <v>358</v>
      </c>
      <c r="D168" s="6" t="s">
        <v>1216</v>
      </c>
      <c r="E168" s="6" t="s">
        <v>34</v>
      </c>
      <c r="F168" s="6" t="s">
        <v>1217</v>
      </c>
      <c r="G168" s="3"/>
    </row>
    <row r="169" spans="2:7" x14ac:dyDescent="0.2">
      <c r="B169" s="5" t="s">
        <v>893</v>
      </c>
      <c r="C169" s="5" t="s">
        <v>358</v>
      </c>
      <c r="D169" s="6" t="s">
        <v>524</v>
      </c>
      <c r="E169" s="6" t="s">
        <v>373</v>
      </c>
      <c r="F169" s="6" t="s">
        <v>1218</v>
      </c>
      <c r="G169" s="3"/>
    </row>
    <row r="170" spans="2:7" x14ac:dyDescent="0.2">
      <c r="G170" s="3"/>
    </row>
    <row r="171" spans="2:7" ht="15" x14ac:dyDescent="0.2">
      <c r="B171" s="73" t="s">
        <v>341</v>
      </c>
      <c r="C171" s="73"/>
      <c r="G171" s="3"/>
    </row>
    <row r="172" spans="2:7" ht="14.25" x14ac:dyDescent="0.2">
      <c r="B172" s="25"/>
      <c r="C172" s="25" t="s">
        <v>342</v>
      </c>
      <c r="G172" s="3"/>
    </row>
    <row r="173" spans="2:7" ht="15" x14ac:dyDescent="0.2">
      <c r="B173" s="4" t="s">
        <v>343</v>
      </c>
      <c r="C173" s="4" t="s">
        <v>344</v>
      </c>
      <c r="D173" s="4" t="s">
        <v>345</v>
      </c>
      <c r="E173" s="4" t="s">
        <v>861</v>
      </c>
      <c r="F173" s="4" t="s">
        <v>347</v>
      </c>
      <c r="G173" s="3"/>
    </row>
    <row r="174" spans="2:7" x14ac:dyDescent="0.2">
      <c r="B174" s="5" t="s">
        <v>1133</v>
      </c>
      <c r="C174" s="5" t="s">
        <v>348</v>
      </c>
      <c r="D174" s="6" t="s">
        <v>359</v>
      </c>
      <c r="E174" s="6" t="s">
        <v>266</v>
      </c>
      <c r="F174" s="6" t="s">
        <v>1219</v>
      </c>
      <c r="G174" s="3"/>
    </row>
    <row r="175" spans="2:7" x14ac:dyDescent="0.2">
      <c r="B175" s="5" t="s">
        <v>1006</v>
      </c>
      <c r="C175" s="5" t="s">
        <v>348</v>
      </c>
      <c r="D175" s="6" t="s">
        <v>355</v>
      </c>
      <c r="E175" s="6" t="s">
        <v>83</v>
      </c>
      <c r="F175" s="6" t="s">
        <v>1220</v>
      </c>
      <c r="G175" s="3"/>
    </row>
    <row r="176" spans="2:7" x14ac:dyDescent="0.2">
      <c r="B176" s="5" t="s">
        <v>247</v>
      </c>
      <c r="C176" s="5" t="s">
        <v>348</v>
      </c>
      <c r="D176" s="6" t="s">
        <v>352</v>
      </c>
      <c r="E176" s="6" t="s">
        <v>125</v>
      </c>
      <c r="F176" s="6" t="s">
        <v>1221</v>
      </c>
      <c r="G176" s="3"/>
    </row>
    <row r="177" spans="1:7" x14ac:dyDescent="0.2">
      <c r="G177" s="3"/>
    </row>
    <row r="178" spans="1:7" ht="14.25" x14ac:dyDescent="0.2">
      <c r="B178" s="25"/>
      <c r="C178" s="25" t="s">
        <v>1222</v>
      </c>
      <c r="G178" s="3"/>
    </row>
    <row r="179" spans="1:7" ht="15" x14ac:dyDescent="0.2">
      <c r="B179" s="4" t="s">
        <v>343</v>
      </c>
      <c r="C179" s="4" t="s">
        <v>344</v>
      </c>
      <c r="D179" s="4" t="s">
        <v>345</v>
      </c>
      <c r="E179" s="4" t="s">
        <v>861</v>
      </c>
      <c r="F179" s="4" t="s">
        <v>347</v>
      </c>
      <c r="G179" s="3"/>
    </row>
    <row r="180" spans="1:7" x14ac:dyDescent="0.2">
      <c r="B180" s="5" t="s">
        <v>955</v>
      </c>
      <c r="C180" s="5" t="s">
        <v>1222</v>
      </c>
      <c r="D180" s="6" t="s">
        <v>349</v>
      </c>
      <c r="E180" s="6" t="s">
        <v>109</v>
      </c>
      <c r="F180" s="6" t="s">
        <v>1223</v>
      </c>
      <c r="G180" s="3"/>
    </row>
    <row r="181" spans="1:7" x14ac:dyDescent="0.2">
      <c r="B181" s="5" t="s">
        <v>1170</v>
      </c>
      <c r="C181" s="5" t="s">
        <v>1222</v>
      </c>
      <c r="D181" s="6" t="s">
        <v>813</v>
      </c>
      <c r="E181" s="6" t="s">
        <v>123</v>
      </c>
      <c r="F181" s="6" t="s">
        <v>1224</v>
      </c>
      <c r="G181" s="3"/>
    </row>
    <row r="182" spans="1:7" x14ac:dyDescent="0.2">
      <c r="B182" s="5" t="s">
        <v>958</v>
      </c>
      <c r="C182" s="5" t="s">
        <v>1222</v>
      </c>
      <c r="D182" s="6" t="s">
        <v>349</v>
      </c>
      <c r="E182" s="6" t="s">
        <v>90</v>
      </c>
      <c r="F182" s="6" t="s">
        <v>1225</v>
      </c>
      <c r="G182" s="3"/>
    </row>
    <row r="183" spans="1:7" x14ac:dyDescent="0.2">
      <c r="G183" s="3"/>
    </row>
    <row r="184" spans="1:7" ht="14.25" x14ac:dyDescent="0.2">
      <c r="B184" s="25"/>
      <c r="C184" s="25" t="s">
        <v>358</v>
      </c>
      <c r="G184" s="3"/>
    </row>
    <row r="185" spans="1:7" ht="15" x14ac:dyDescent="0.2">
      <c r="B185" s="4" t="s">
        <v>343</v>
      </c>
      <c r="C185" s="4" t="s">
        <v>344</v>
      </c>
      <c r="D185" s="4" t="s">
        <v>345</v>
      </c>
      <c r="E185" s="4" t="s">
        <v>861</v>
      </c>
      <c r="F185" s="4" t="s">
        <v>347</v>
      </c>
      <c r="G185" s="3"/>
    </row>
    <row r="186" spans="1:7" x14ac:dyDescent="0.2">
      <c r="B186" s="5" t="s">
        <v>968</v>
      </c>
      <c r="C186" s="5" t="s">
        <v>358</v>
      </c>
      <c r="D186" s="6" t="s">
        <v>349</v>
      </c>
      <c r="E186" s="6" t="s">
        <v>152</v>
      </c>
      <c r="F186" s="6" t="s">
        <v>1226</v>
      </c>
      <c r="G186" s="3"/>
    </row>
    <row r="187" spans="1:7" x14ac:dyDescent="0.2">
      <c r="A187" s="67" t="s">
        <v>203</v>
      </c>
      <c r="B187" s="5" t="s">
        <v>1204</v>
      </c>
      <c r="C187" s="5" t="s">
        <v>358</v>
      </c>
      <c r="D187" s="6" t="s">
        <v>532</v>
      </c>
      <c r="E187" s="6" t="s">
        <v>145</v>
      </c>
      <c r="F187" s="6" t="s">
        <v>1227</v>
      </c>
      <c r="G187" s="3"/>
    </row>
    <row r="188" spans="1:7" x14ac:dyDescent="0.2">
      <c r="B188" s="5" t="s">
        <v>1186</v>
      </c>
      <c r="C188" s="5" t="s">
        <v>358</v>
      </c>
      <c r="D188" s="6" t="s">
        <v>749</v>
      </c>
      <c r="E188" s="6" t="s">
        <v>100</v>
      </c>
      <c r="F188" s="6" t="s">
        <v>1228</v>
      </c>
      <c r="G188" s="3"/>
    </row>
    <row r="189" spans="1:7" x14ac:dyDescent="0.2">
      <c r="G189" s="3"/>
    </row>
    <row r="190" spans="1:7" ht="14.25" x14ac:dyDescent="0.2">
      <c r="B190" s="25"/>
      <c r="C190" s="25" t="s">
        <v>1229</v>
      </c>
      <c r="G190" s="3"/>
    </row>
    <row r="191" spans="1:7" ht="15" x14ac:dyDescent="0.2">
      <c r="B191" s="4" t="s">
        <v>343</v>
      </c>
      <c r="C191" s="4" t="s">
        <v>344</v>
      </c>
      <c r="D191" s="4" t="s">
        <v>1230</v>
      </c>
      <c r="E191" s="4" t="s">
        <v>861</v>
      </c>
      <c r="F191" s="4" t="s">
        <v>347</v>
      </c>
      <c r="G191" s="3"/>
    </row>
    <row r="192" spans="1:7" x14ac:dyDescent="0.2">
      <c r="B192" s="5" t="s">
        <v>1129</v>
      </c>
      <c r="C192" s="5" t="s">
        <v>1231</v>
      </c>
      <c r="D192" s="6" t="s">
        <v>352</v>
      </c>
      <c r="E192" s="6" t="s">
        <v>118</v>
      </c>
      <c r="F192" s="6" t="s">
        <v>1232</v>
      </c>
      <c r="G192" s="3"/>
    </row>
    <row r="193" spans="2:7" x14ac:dyDescent="0.2">
      <c r="B193" s="5" t="s">
        <v>1000</v>
      </c>
      <c r="C193" s="5" t="s">
        <v>1231</v>
      </c>
      <c r="D193" s="6" t="s">
        <v>349</v>
      </c>
      <c r="E193" s="6" t="s">
        <v>378</v>
      </c>
      <c r="F193" s="6" t="s">
        <v>1233</v>
      </c>
      <c r="G193" s="3"/>
    </row>
    <row r="194" spans="2:7" x14ac:dyDescent="0.2">
      <c r="B194" s="5" t="s">
        <v>1183</v>
      </c>
      <c r="C194" s="5" t="s">
        <v>1231</v>
      </c>
      <c r="D194" s="6" t="s">
        <v>813</v>
      </c>
      <c r="E194" s="6" t="s">
        <v>125</v>
      </c>
      <c r="F194" s="6" t="s">
        <v>1234</v>
      </c>
      <c r="G194" s="3"/>
    </row>
    <row r="195" spans="2:7" x14ac:dyDescent="0.2">
      <c r="B195" s="5" t="s">
        <v>38</v>
      </c>
    </row>
  </sheetData>
  <mergeCells count="31">
    <mergeCell ref="A138:M138"/>
    <mergeCell ref="A147:M147"/>
    <mergeCell ref="A155:M155"/>
    <mergeCell ref="B3:B4"/>
    <mergeCell ref="A44:M44"/>
    <mergeCell ref="A47:M47"/>
    <mergeCell ref="A58:M58"/>
    <mergeCell ref="A76:M76"/>
    <mergeCell ref="A99:M99"/>
    <mergeCell ref="A122:M122"/>
    <mergeCell ref="A18:M18"/>
    <mergeCell ref="A24:M24"/>
    <mergeCell ref="A27:M27"/>
    <mergeCell ref="A30:M30"/>
    <mergeCell ref="A35:M35"/>
    <mergeCell ref="A41:M41"/>
    <mergeCell ref="A38:M38"/>
    <mergeCell ref="A12:M12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5:M5"/>
    <mergeCell ref="A9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112"/>
  <sheetViews>
    <sheetView workbookViewId="0">
      <selection sqref="A1:N2"/>
    </sheetView>
  </sheetViews>
  <sheetFormatPr defaultColWidth="9.140625" defaultRowHeight="12.75" x14ac:dyDescent="0.2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33.140625" style="5" bestFit="1" customWidth="1"/>
    <col min="7" max="7" width="23.42578125" style="5" bestFit="1" customWidth="1"/>
    <col min="8" max="11" width="5.42578125" style="6" bestFit="1" customWidth="1"/>
    <col min="12" max="12" width="11.28515625" style="6" bestFit="1" customWidth="1"/>
    <col min="13" max="13" width="8.42578125" style="6" bestFit="1" customWidth="1"/>
    <col min="14" max="14" width="31.140625" style="5" bestFit="1" customWidth="1"/>
    <col min="15" max="16384" width="9.140625" style="3"/>
  </cols>
  <sheetData>
    <row r="1" spans="1:14" s="2" customFormat="1" ht="29.1" customHeight="1" x14ac:dyDescent="0.2">
      <c r="A1" s="83" t="s">
        <v>1235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4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3"/>
      <c r="M4" s="93"/>
      <c r="N4" s="78"/>
    </row>
    <row r="5" spans="1:14" ht="15" x14ac:dyDescent="0.2">
      <c r="A5" s="79" t="s">
        <v>753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0" t="s">
        <v>16</v>
      </c>
      <c r="B6" s="7" t="s">
        <v>1236</v>
      </c>
      <c r="C6" s="7" t="s">
        <v>1237</v>
      </c>
      <c r="D6" s="7" t="s">
        <v>1238</v>
      </c>
      <c r="E6" s="7" t="str">
        <f>"1,2212"</f>
        <v>1,2212</v>
      </c>
      <c r="F6" s="7" t="s">
        <v>20</v>
      </c>
      <c r="G6" s="7" t="s">
        <v>69</v>
      </c>
      <c r="H6" s="8" t="s">
        <v>36</v>
      </c>
      <c r="I6" s="8" t="s">
        <v>25</v>
      </c>
      <c r="J6" s="8" t="s">
        <v>26</v>
      </c>
      <c r="K6" s="10"/>
      <c r="L6" s="10" t="str">
        <f>"45,0"</f>
        <v>45,0</v>
      </c>
      <c r="M6" s="10" t="str">
        <f>"54,9540"</f>
        <v>54,9540</v>
      </c>
      <c r="N6" s="7" t="s">
        <v>1239</v>
      </c>
    </row>
    <row r="7" spans="1:14" x14ac:dyDescent="0.2">
      <c r="B7" s="5" t="s">
        <v>38</v>
      </c>
    </row>
    <row r="8" spans="1:14" ht="15" x14ac:dyDescent="0.2">
      <c r="A8" s="81" t="s">
        <v>48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x14ac:dyDescent="0.2">
      <c r="A9" s="14" t="s">
        <v>16</v>
      </c>
      <c r="B9" s="11" t="s">
        <v>1240</v>
      </c>
      <c r="C9" s="11" t="s">
        <v>1241</v>
      </c>
      <c r="D9" s="11" t="s">
        <v>1242</v>
      </c>
      <c r="E9" s="11" t="str">
        <f>"1,1386"</f>
        <v>1,1386</v>
      </c>
      <c r="F9" s="11" t="s">
        <v>171</v>
      </c>
      <c r="G9" s="11" t="s">
        <v>656</v>
      </c>
      <c r="H9" s="13" t="s">
        <v>108</v>
      </c>
      <c r="I9" s="12" t="s">
        <v>53</v>
      </c>
      <c r="J9" s="12" t="s">
        <v>53</v>
      </c>
      <c r="K9" s="14"/>
      <c r="L9" s="14" t="str">
        <f>"82,5"</f>
        <v>82,5</v>
      </c>
      <c r="M9" s="14" t="str">
        <f>"93,9345"</f>
        <v>93,9345</v>
      </c>
      <c r="N9" s="11" t="s">
        <v>1243</v>
      </c>
    </row>
    <row r="10" spans="1:14" x14ac:dyDescent="0.2">
      <c r="A10" s="21" t="s">
        <v>16</v>
      </c>
      <c r="B10" s="19" t="s">
        <v>1240</v>
      </c>
      <c r="C10" s="19" t="s">
        <v>1244</v>
      </c>
      <c r="D10" s="19" t="s">
        <v>1242</v>
      </c>
      <c r="E10" s="19" t="str">
        <f>"1,1386"</f>
        <v>1,1386</v>
      </c>
      <c r="F10" s="19" t="s">
        <v>171</v>
      </c>
      <c r="G10" s="19" t="s">
        <v>656</v>
      </c>
      <c r="H10" s="20" t="s">
        <v>108</v>
      </c>
      <c r="I10" s="22" t="s">
        <v>53</v>
      </c>
      <c r="J10" s="22" t="s">
        <v>53</v>
      </c>
      <c r="K10" s="21"/>
      <c r="L10" s="21" t="str">
        <f>"82,5"</f>
        <v>82,5</v>
      </c>
      <c r="M10" s="21" t="str">
        <f>"93,9345"</f>
        <v>93,9345</v>
      </c>
      <c r="N10" s="19" t="s">
        <v>1243</v>
      </c>
    </row>
    <row r="11" spans="1:14" x14ac:dyDescent="0.2">
      <c r="B11" s="5" t="s">
        <v>38</v>
      </c>
    </row>
    <row r="12" spans="1:14" ht="15" x14ac:dyDescent="0.2">
      <c r="A12" s="81" t="s">
        <v>131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4" x14ac:dyDescent="0.2">
      <c r="A13" s="14" t="s">
        <v>16</v>
      </c>
      <c r="B13" s="11" t="s">
        <v>1245</v>
      </c>
      <c r="C13" s="11" t="s">
        <v>1246</v>
      </c>
      <c r="D13" s="11" t="s">
        <v>1247</v>
      </c>
      <c r="E13" s="11" t="str">
        <f>"0,9522"</f>
        <v>0,9522</v>
      </c>
      <c r="F13" s="11" t="s">
        <v>20</v>
      </c>
      <c r="G13" s="11" t="s">
        <v>69</v>
      </c>
      <c r="H13" s="13" t="s">
        <v>37</v>
      </c>
      <c r="I13" s="13" t="s">
        <v>82</v>
      </c>
      <c r="J13" s="12" t="s">
        <v>107</v>
      </c>
      <c r="K13" s="14"/>
      <c r="L13" s="14" t="str">
        <f>"110,0"</f>
        <v>110,0</v>
      </c>
      <c r="M13" s="14" t="str">
        <f>"104,7420"</f>
        <v>104,7420</v>
      </c>
      <c r="N13" s="11" t="s">
        <v>1248</v>
      </c>
    </row>
    <row r="14" spans="1:14" x14ac:dyDescent="0.2">
      <c r="A14" s="21" t="s">
        <v>16</v>
      </c>
      <c r="B14" s="19" t="s">
        <v>1249</v>
      </c>
      <c r="C14" s="19" t="s">
        <v>1250</v>
      </c>
      <c r="D14" s="19" t="s">
        <v>1251</v>
      </c>
      <c r="E14" s="19" t="str">
        <f>"0,9881"</f>
        <v>0,9881</v>
      </c>
      <c r="F14" s="19" t="s">
        <v>20</v>
      </c>
      <c r="G14" s="19" t="s">
        <v>69</v>
      </c>
      <c r="H14" s="22" t="s">
        <v>34</v>
      </c>
      <c r="I14" s="20" t="s">
        <v>34</v>
      </c>
      <c r="J14" s="22" t="s">
        <v>23</v>
      </c>
      <c r="K14" s="21"/>
      <c r="L14" s="21" t="str">
        <f>"70,0"</f>
        <v>70,0</v>
      </c>
      <c r="M14" s="21" t="str">
        <f>"91,4388"</f>
        <v>91,4388</v>
      </c>
      <c r="N14" s="19" t="s">
        <v>1252</v>
      </c>
    </row>
    <row r="15" spans="1:14" x14ac:dyDescent="0.2">
      <c r="B15" s="5" t="s">
        <v>38</v>
      </c>
    </row>
    <row r="16" spans="1:14" ht="15" x14ac:dyDescent="0.2">
      <c r="A16" s="81" t="s">
        <v>73</v>
      </c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4" x14ac:dyDescent="0.2">
      <c r="A17" s="14" t="s">
        <v>16</v>
      </c>
      <c r="B17" s="11" t="s">
        <v>1253</v>
      </c>
      <c r="C17" s="11" t="s">
        <v>1254</v>
      </c>
      <c r="D17" s="11" t="s">
        <v>1255</v>
      </c>
      <c r="E17" s="11" t="str">
        <f>"0,7719"</f>
        <v>0,7719</v>
      </c>
      <c r="F17" s="11" t="s">
        <v>20</v>
      </c>
      <c r="G17" s="11" t="s">
        <v>69</v>
      </c>
      <c r="H17" s="13" t="s">
        <v>37</v>
      </c>
      <c r="I17" s="12" t="s">
        <v>386</v>
      </c>
      <c r="J17" s="13" t="s">
        <v>386</v>
      </c>
      <c r="K17" s="14"/>
      <c r="L17" s="14" t="str">
        <f>"112,5"</f>
        <v>112,5</v>
      </c>
      <c r="M17" s="14" t="str">
        <f>"86,8387"</f>
        <v>86,8387</v>
      </c>
      <c r="N17" s="11" t="s">
        <v>59</v>
      </c>
    </row>
    <row r="18" spans="1:14" x14ac:dyDescent="0.2">
      <c r="A18" s="17" t="s">
        <v>60</v>
      </c>
      <c r="B18" s="15" t="s">
        <v>1256</v>
      </c>
      <c r="C18" s="15" t="s">
        <v>1257</v>
      </c>
      <c r="D18" s="15" t="s">
        <v>1258</v>
      </c>
      <c r="E18" s="15" t="str">
        <f>"0,7983"</f>
        <v>0,7983</v>
      </c>
      <c r="F18" s="15" t="s">
        <v>20</v>
      </c>
      <c r="G18" s="15" t="s">
        <v>1259</v>
      </c>
      <c r="H18" s="16" t="s">
        <v>108</v>
      </c>
      <c r="I18" s="16" t="s">
        <v>28</v>
      </c>
      <c r="J18" s="16" t="s">
        <v>64</v>
      </c>
      <c r="K18" s="17"/>
      <c r="L18" s="17" t="str">
        <f>"92,5"</f>
        <v>92,5</v>
      </c>
      <c r="M18" s="17" t="str">
        <f>"73,8428"</f>
        <v>73,8428</v>
      </c>
      <c r="N18" s="15" t="s">
        <v>59</v>
      </c>
    </row>
    <row r="19" spans="1:14" x14ac:dyDescent="0.2">
      <c r="A19" s="21" t="s">
        <v>16</v>
      </c>
      <c r="B19" s="19" t="s">
        <v>946</v>
      </c>
      <c r="C19" s="19" t="s">
        <v>947</v>
      </c>
      <c r="D19" s="19" t="s">
        <v>565</v>
      </c>
      <c r="E19" s="19" t="str">
        <f>"0,7785"</f>
        <v>0,7785</v>
      </c>
      <c r="F19" s="19" t="s">
        <v>20</v>
      </c>
      <c r="G19" s="19" t="s">
        <v>948</v>
      </c>
      <c r="H19" s="20" t="s">
        <v>116</v>
      </c>
      <c r="I19" s="20" t="s">
        <v>90</v>
      </c>
      <c r="J19" s="22" t="s">
        <v>130</v>
      </c>
      <c r="K19" s="21"/>
      <c r="L19" s="21" t="str">
        <f>"125,0"</f>
        <v>125,0</v>
      </c>
      <c r="M19" s="21" t="str">
        <f>"97,3125"</f>
        <v>97,3125</v>
      </c>
      <c r="N19" s="19" t="s">
        <v>59</v>
      </c>
    </row>
    <row r="20" spans="1:14" x14ac:dyDescent="0.2">
      <c r="B20" s="5" t="s">
        <v>38</v>
      </c>
    </row>
    <row r="21" spans="1:14" ht="15" x14ac:dyDescent="0.2">
      <c r="A21" s="81" t="s">
        <v>131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4" x14ac:dyDescent="0.2">
      <c r="A22" s="14" t="s">
        <v>16</v>
      </c>
      <c r="B22" s="11" t="s">
        <v>1260</v>
      </c>
      <c r="C22" s="11" t="s">
        <v>1261</v>
      </c>
      <c r="D22" s="11" t="s">
        <v>547</v>
      </c>
      <c r="E22" s="11" t="str">
        <f>"0,7249"</f>
        <v>0,7249</v>
      </c>
      <c r="F22" s="11" t="s">
        <v>20</v>
      </c>
      <c r="G22" s="11" t="s">
        <v>1262</v>
      </c>
      <c r="H22" s="13" t="s">
        <v>386</v>
      </c>
      <c r="I22" s="13" t="s">
        <v>116</v>
      </c>
      <c r="J22" s="12" t="s">
        <v>58</v>
      </c>
      <c r="K22" s="14"/>
      <c r="L22" s="14" t="str">
        <f>"120,0"</f>
        <v>120,0</v>
      </c>
      <c r="M22" s="14" t="str">
        <f>"86,9880"</f>
        <v>86,9880</v>
      </c>
      <c r="N22" s="11" t="s">
        <v>1263</v>
      </c>
    </row>
    <row r="23" spans="1:14" x14ac:dyDescent="0.2">
      <c r="A23" s="21" t="s">
        <v>16</v>
      </c>
      <c r="B23" s="19" t="s">
        <v>1264</v>
      </c>
      <c r="C23" s="19" t="s">
        <v>1265</v>
      </c>
      <c r="D23" s="19" t="s">
        <v>999</v>
      </c>
      <c r="E23" s="19" t="str">
        <f>"0,7322"</f>
        <v>0,7322</v>
      </c>
      <c r="F23" s="19" t="s">
        <v>20</v>
      </c>
      <c r="G23" s="19" t="s">
        <v>1266</v>
      </c>
      <c r="H23" s="20" t="s">
        <v>24</v>
      </c>
      <c r="I23" s="20" t="s">
        <v>28</v>
      </c>
      <c r="J23" s="22" t="s">
        <v>53</v>
      </c>
      <c r="K23" s="21"/>
      <c r="L23" s="21" t="str">
        <f>"87,5"</f>
        <v>87,5</v>
      </c>
      <c r="M23" s="21" t="str">
        <f>"131,9791"</f>
        <v>131,9791</v>
      </c>
      <c r="N23" s="19" t="s">
        <v>59</v>
      </c>
    </row>
    <row r="24" spans="1:14" x14ac:dyDescent="0.2">
      <c r="B24" s="5" t="s">
        <v>38</v>
      </c>
    </row>
    <row r="25" spans="1:14" ht="15" x14ac:dyDescent="0.2">
      <c r="A25" s="81" t="s">
        <v>192</v>
      </c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4" x14ac:dyDescent="0.2">
      <c r="A26" s="14" t="s">
        <v>16</v>
      </c>
      <c r="B26" s="11" t="s">
        <v>1267</v>
      </c>
      <c r="C26" s="11" t="s">
        <v>1268</v>
      </c>
      <c r="D26" s="11" t="s">
        <v>828</v>
      </c>
      <c r="E26" s="49" t="str">
        <f>"0,6699"</f>
        <v>0,6699</v>
      </c>
      <c r="F26" s="11" t="s">
        <v>96</v>
      </c>
      <c r="G26" s="40" t="s">
        <v>435</v>
      </c>
      <c r="H26" s="64" t="s">
        <v>101</v>
      </c>
      <c r="I26" s="12" t="s">
        <v>145</v>
      </c>
      <c r="J26" s="13" t="s">
        <v>145</v>
      </c>
      <c r="K26" s="14"/>
      <c r="L26" s="14" t="str">
        <f>"225,0"</f>
        <v>225,0</v>
      </c>
      <c r="M26" s="14" t="str">
        <f>"150,7275"</f>
        <v>150,7275</v>
      </c>
      <c r="N26" s="11" t="s">
        <v>59</v>
      </c>
    </row>
    <row r="27" spans="1:14" x14ac:dyDescent="0.2">
      <c r="A27" s="17" t="s">
        <v>60</v>
      </c>
      <c r="B27" s="15" t="s">
        <v>1269</v>
      </c>
      <c r="C27" s="15" t="s">
        <v>1270</v>
      </c>
      <c r="D27" s="15" t="s">
        <v>1008</v>
      </c>
      <c r="E27" s="50" t="str">
        <f>"0,7086"</f>
        <v>0,7086</v>
      </c>
      <c r="F27" s="15" t="s">
        <v>20</v>
      </c>
      <c r="G27" s="42" t="s">
        <v>1039</v>
      </c>
      <c r="H27" s="65" t="s">
        <v>100</v>
      </c>
      <c r="I27" s="16" t="s">
        <v>223</v>
      </c>
      <c r="J27" s="16" t="s">
        <v>101</v>
      </c>
      <c r="K27" s="17"/>
      <c r="L27" s="17" t="str">
        <f>"220,0"</f>
        <v>220,0</v>
      </c>
      <c r="M27" s="17" t="str">
        <f>"155,8920"</f>
        <v>155,8920</v>
      </c>
      <c r="N27" s="15" t="s">
        <v>59</v>
      </c>
    </row>
    <row r="28" spans="1:14" x14ac:dyDescent="0.2">
      <c r="A28" s="17" t="s">
        <v>65</v>
      </c>
      <c r="B28" s="15" t="s">
        <v>1271</v>
      </c>
      <c r="C28" s="15" t="s">
        <v>1272</v>
      </c>
      <c r="D28" s="15" t="s">
        <v>1273</v>
      </c>
      <c r="E28" s="50" t="str">
        <f>"0,6822"</f>
        <v>0,6822</v>
      </c>
      <c r="F28" s="15" t="s">
        <v>20</v>
      </c>
      <c r="G28" s="42" t="s">
        <v>1274</v>
      </c>
      <c r="H28" s="65" t="s">
        <v>575</v>
      </c>
      <c r="I28" s="16" t="s">
        <v>853</v>
      </c>
      <c r="J28" s="16" t="s">
        <v>143</v>
      </c>
      <c r="K28" s="17"/>
      <c r="L28" s="17" t="str">
        <f>"200,0"</f>
        <v>200,0</v>
      </c>
      <c r="M28" s="17" t="str">
        <f>"136,4400"</f>
        <v>136,4400</v>
      </c>
      <c r="N28" s="15" t="s">
        <v>1275</v>
      </c>
    </row>
    <row r="29" spans="1:14" x14ac:dyDescent="0.2">
      <c r="A29" s="17" t="s">
        <v>182</v>
      </c>
      <c r="B29" s="15" t="s">
        <v>1276</v>
      </c>
      <c r="C29" s="15" t="s">
        <v>1277</v>
      </c>
      <c r="D29" s="15" t="s">
        <v>1278</v>
      </c>
      <c r="E29" s="50" t="str">
        <f>"0,7112"</f>
        <v>0,7112</v>
      </c>
      <c r="F29" s="15" t="s">
        <v>20</v>
      </c>
      <c r="G29" s="42" t="s">
        <v>69</v>
      </c>
      <c r="H29" s="56" t="s">
        <v>136</v>
      </c>
      <c r="I29" s="16" t="s">
        <v>136</v>
      </c>
      <c r="J29" s="18" t="s">
        <v>110</v>
      </c>
      <c r="K29" s="17"/>
      <c r="L29" s="17" t="str">
        <f>"150,0"</f>
        <v>150,0</v>
      </c>
      <c r="M29" s="17" t="str">
        <f>"106,6800"</f>
        <v>106,6800</v>
      </c>
      <c r="N29" s="15" t="s">
        <v>59</v>
      </c>
    </row>
    <row r="30" spans="1:14" x14ac:dyDescent="0.2">
      <c r="A30" s="17" t="s">
        <v>276</v>
      </c>
      <c r="B30" s="15" t="s">
        <v>829</v>
      </c>
      <c r="C30" s="15" t="s">
        <v>830</v>
      </c>
      <c r="D30" s="15" t="s">
        <v>831</v>
      </c>
      <c r="E30" s="50" t="str">
        <f>"0,6744"</f>
        <v>0,6744</v>
      </c>
      <c r="F30" s="15" t="s">
        <v>96</v>
      </c>
      <c r="G30" s="42" t="s">
        <v>435</v>
      </c>
      <c r="H30" s="65" t="s">
        <v>58</v>
      </c>
      <c r="I30" s="16" t="s">
        <v>118</v>
      </c>
      <c r="J30" s="16" t="s">
        <v>136</v>
      </c>
      <c r="K30" s="17"/>
      <c r="L30" s="17" t="str">
        <f>"150,0"</f>
        <v>150,0</v>
      </c>
      <c r="M30" s="17" t="str">
        <f>"101,1600"</f>
        <v>101,1600</v>
      </c>
      <c r="N30" s="15" t="s">
        <v>832</v>
      </c>
    </row>
    <row r="31" spans="1:14" x14ac:dyDescent="0.2">
      <c r="A31" s="17" t="s">
        <v>16</v>
      </c>
      <c r="B31" s="15" t="s">
        <v>1267</v>
      </c>
      <c r="C31" s="15" t="s">
        <v>1279</v>
      </c>
      <c r="D31" s="15" t="s">
        <v>828</v>
      </c>
      <c r="E31" s="50" t="str">
        <f>"0,6699"</f>
        <v>0,6699</v>
      </c>
      <c r="F31" s="15" t="s">
        <v>96</v>
      </c>
      <c r="G31" s="42" t="s">
        <v>435</v>
      </c>
      <c r="H31" s="65" t="s">
        <v>101</v>
      </c>
      <c r="I31" s="18" t="s">
        <v>145</v>
      </c>
      <c r="J31" s="16" t="s">
        <v>145</v>
      </c>
      <c r="K31" s="17"/>
      <c r="L31" s="17" t="str">
        <f>"225,0"</f>
        <v>225,0</v>
      </c>
      <c r="M31" s="17" t="str">
        <f>"162,4842"</f>
        <v>162,4842</v>
      </c>
      <c r="N31" s="15" t="s">
        <v>59</v>
      </c>
    </row>
    <row r="32" spans="1:14" x14ac:dyDescent="0.2">
      <c r="A32" s="17" t="s">
        <v>60</v>
      </c>
      <c r="B32" s="15" t="s">
        <v>1269</v>
      </c>
      <c r="C32" s="15" t="s">
        <v>1280</v>
      </c>
      <c r="D32" s="15" t="s">
        <v>1008</v>
      </c>
      <c r="E32" s="50" t="str">
        <f>"0,7086"</f>
        <v>0,7086</v>
      </c>
      <c r="F32" s="15" t="s">
        <v>20</v>
      </c>
      <c r="G32" s="42" t="s">
        <v>1039</v>
      </c>
      <c r="H32" s="65" t="s">
        <v>100</v>
      </c>
      <c r="I32" s="16" t="s">
        <v>223</v>
      </c>
      <c r="J32" s="16" t="s">
        <v>101</v>
      </c>
      <c r="K32" s="17"/>
      <c r="L32" s="17" t="str">
        <f>"220,0"</f>
        <v>220,0</v>
      </c>
      <c r="M32" s="17" t="str">
        <f>"155,8920"</f>
        <v>155,8920</v>
      </c>
      <c r="N32" s="15" t="s">
        <v>59</v>
      </c>
    </row>
    <row r="33" spans="1:14" x14ac:dyDescent="0.2">
      <c r="A33" s="17" t="s">
        <v>65</v>
      </c>
      <c r="B33" s="15" t="s">
        <v>1281</v>
      </c>
      <c r="C33" s="15" t="s">
        <v>1282</v>
      </c>
      <c r="D33" s="15" t="s">
        <v>241</v>
      </c>
      <c r="E33" s="50" t="str">
        <f>"0,6779"</f>
        <v>0,6779</v>
      </c>
      <c r="F33" s="15" t="s">
        <v>20</v>
      </c>
      <c r="G33" s="42" t="s">
        <v>69</v>
      </c>
      <c r="H33" s="65" t="s">
        <v>99</v>
      </c>
      <c r="I33" s="18" t="s">
        <v>137</v>
      </c>
      <c r="J33" s="16" t="s">
        <v>137</v>
      </c>
      <c r="K33" s="17"/>
      <c r="L33" s="17" t="str">
        <f>"175,0"</f>
        <v>175,0</v>
      </c>
      <c r="M33" s="17" t="str">
        <f>"121,9542"</f>
        <v>121,9542</v>
      </c>
      <c r="N33" s="15" t="s">
        <v>1283</v>
      </c>
    </row>
    <row r="34" spans="1:14" x14ac:dyDescent="0.2">
      <c r="A34" s="17" t="s">
        <v>182</v>
      </c>
      <c r="B34" s="15" t="s">
        <v>1284</v>
      </c>
      <c r="C34" s="15" t="s">
        <v>1285</v>
      </c>
      <c r="D34" s="15" t="s">
        <v>232</v>
      </c>
      <c r="E34" s="50" t="str">
        <f>"0,6704"</f>
        <v>0,6704</v>
      </c>
      <c r="F34" s="15" t="s">
        <v>1286</v>
      </c>
      <c r="G34" s="42" t="s">
        <v>708</v>
      </c>
      <c r="H34" s="56" t="s">
        <v>136</v>
      </c>
      <c r="I34" s="16" t="s">
        <v>136</v>
      </c>
      <c r="J34" s="17"/>
      <c r="K34" s="17"/>
      <c r="L34" s="17" t="str">
        <f>"150,0"</f>
        <v>150,0</v>
      </c>
      <c r="M34" s="17" t="str">
        <f>"103,3757"</f>
        <v>103,3757</v>
      </c>
      <c r="N34" s="15" t="s">
        <v>59</v>
      </c>
    </row>
    <row r="35" spans="1:14" x14ac:dyDescent="0.2">
      <c r="A35" s="17" t="s">
        <v>16</v>
      </c>
      <c r="B35" s="15" t="s">
        <v>1287</v>
      </c>
      <c r="C35" s="15" t="s">
        <v>1288</v>
      </c>
      <c r="D35" s="15" t="s">
        <v>226</v>
      </c>
      <c r="E35" s="50" t="str">
        <f>"0,6734"</f>
        <v>0,6734</v>
      </c>
      <c r="F35" s="15" t="s">
        <v>20</v>
      </c>
      <c r="G35" s="42" t="s">
        <v>1289</v>
      </c>
      <c r="H35" s="65" t="s">
        <v>117</v>
      </c>
      <c r="I35" s="16" t="s">
        <v>237</v>
      </c>
      <c r="J35" s="16" t="s">
        <v>118</v>
      </c>
      <c r="K35" s="17"/>
      <c r="L35" s="17" t="str">
        <f>"140,0"</f>
        <v>140,0</v>
      </c>
      <c r="M35" s="17" t="str">
        <f>"120,0133"</f>
        <v>120,0133</v>
      </c>
      <c r="N35" s="15" t="s">
        <v>1290</v>
      </c>
    </row>
    <row r="36" spans="1:14" x14ac:dyDescent="0.2">
      <c r="A36" s="21" t="s">
        <v>16</v>
      </c>
      <c r="B36" s="19" t="s">
        <v>1291</v>
      </c>
      <c r="C36" s="19" t="s">
        <v>1292</v>
      </c>
      <c r="D36" s="19" t="s">
        <v>1293</v>
      </c>
      <c r="E36" s="51" t="str">
        <f>"0,6951"</f>
        <v>0,6951</v>
      </c>
      <c r="F36" s="19" t="s">
        <v>1294</v>
      </c>
      <c r="G36" s="48" t="s">
        <v>1295</v>
      </c>
      <c r="H36" s="69" t="s">
        <v>53</v>
      </c>
      <c r="I36" s="22" t="s">
        <v>30</v>
      </c>
      <c r="J36" s="20" t="s">
        <v>30</v>
      </c>
      <c r="K36" s="21"/>
      <c r="L36" s="21" t="str">
        <f>"100,0"</f>
        <v>100,0</v>
      </c>
      <c r="M36" s="21" t="str">
        <f>"106,5588"</f>
        <v>106,5588</v>
      </c>
      <c r="N36" s="19" t="s">
        <v>1296</v>
      </c>
    </row>
    <row r="37" spans="1:14" x14ac:dyDescent="0.2">
      <c r="B37" s="5" t="s">
        <v>38</v>
      </c>
    </row>
    <row r="38" spans="1:14" ht="15" x14ac:dyDescent="0.2">
      <c r="A38" s="81" t="s">
        <v>246</v>
      </c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1:14" x14ac:dyDescent="0.2">
      <c r="A39" s="14" t="s">
        <v>16</v>
      </c>
      <c r="B39" s="11" t="s">
        <v>1297</v>
      </c>
      <c r="C39" s="11" t="s">
        <v>1298</v>
      </c>
      <c r="D39" s="11" t="s">
        <v>1299</v>
      </c>
      <c r="E39" s="49" t="str">
        <f>"0,6553"</f>
        <v>0,6553</v>
      </c>
      <c r="F39" s="11" t="s">
        <v>20</v>
      </c>
      <c r="G39" s="40" t="s">
        <v>69</v>
      </c>
      <c r="H39" s="64" t="s">
        <v>109</v>
      </c>
      <c r="I39" s="13" t="s">
        <v>266</v>
      </c>
      <c r="J39" s="13" t="s">
        <v>110</v>
      </c>
      <c r="K39" s="14"/>
      <c r="L39" s="14" t="str">
        <f>"165,0"</f>
        <v>165,0</v>
      </c>
      <c r="M39" s="14" t="str">
        <f>"108,1245"</f>
        <v>108,1245</v>
      </c>
      <c r="N39" s="11" t="s">
        <v>59</v>
      </c>
    </row>
    <row r="40" spans="1:14" x14ac:dyDescent="0.2">
      <c r="A40" s="17" t="s">
        <v>16</v>
      </c>
      <c r="B40" s="15" t="s">
        <v>1300</v>
      </c>
      <c r="C40" s="15" t="s">
        <v>1301</v>
      </c>
      <c r="D40" s="15" t="s">
        <v>1092</v>
      </c>
      <c r="E40" s="50" t="str">
        <f>"0,6410"</f>
        <v>0,6410</v>
      </c>
      <c r="F40" s="15" t="s">
        <v>20</v>
      </c>
      <c r="G40" s="42" t="s">
        <v>1302</v>
      </c>
      <c r="H40" s="65" t="s">
        <v>251</v>
      </c>
      <c r="I40" s="16" t="s">
        <v>1303</v>
      </c>
      <c r="J40" s="16" t="s">
        <v>1304</v>
      </c>
      <c r="K40" s="18" t="s">
        <v>301</v>
      </c>
      <c r="L40" s="17" t="str">
        <f>"272,5"</f>
        <v>272,5</v>
      </c>
      <c r="M40" s="17" t="str">
        <f>"174,6725"</f>
        <v>174,6725</v>
      </c>
      <c r="N40" s="15" t="s">
        <v>1305</v>
      </c>
    </row>
    <row r="41" spans="1:14" x14ac:dyDescent="0.2">
      <c r="A41" s="17" t="s">
        <v>60</v>
      </c>
      <c r="B41" s="15" t="s">
        <v>1306</v>
      </c>
      <c r="C41" s="15" t="s">
        <v>1307</v>
      </c>
      <c r="D41" s="15" t="s">
        <v>1308</v>
      </c>
      <c r="E41" s="50" t="str">
        <f>"0,6384"</f>
        <v>0,6384</v>
      </c>
      <c r="F41" s="15" t="s">
        <v>20</v>
      </c>
      <c r="G41" s="42" t="s">
        <v>1309</v>
      </c>
      <c r="H41" s="65" t="s">
        <v>175</v>
      </c>
      <c r="I41" s="18" t="s">
        <v>510</v>
      </c>
      <c r="J41" s="17"/>
      <c r="K41" s="17"/>
      <c r="L41" s="17" t="str">
        <f>"255,0"</f>
        <v>255,0</v>
      </c>
      <c r="M41" s="17" t="str">
        <f>"162,7920"</f>
        <v>162,7920</v>
      </c>
      <c r="N41" s="15" t="s">
        <v>1310</v>
      </c>
    </row>
    <row r="42" spans="1:14" x14ac:dyDescent="0.2">
      <c r="A42" s="17" t="s">
        <v>65</v>
      </c>
      <c r="B42" s="15" t="s">
        <v>1311</v>
      </c>
      <c r="C42" s="15" t="s">
        <v>1312</v>
      </c>
      <c r="D42" s="15" t="s">
        <v>1308</v>
      </c>
      <c r="E42" s="50" t="str">
        <f>"0,6384"</f>
        <v>0,6384</v>
      </c>
      <c r="F42" s="15" t="s">
        <v>1294</v>
      </c>
      <c r="G42" s="42" t="s">
        <v>1295</v>
      </c>
      <c r="H42" s="56" t="s">
        <v>250</v>
      </c>
      <c r="I42" s="16" t="s">
        <v>250</v>
      </c>
      <c r="J42" s="18" t="s">
        <v>483</v>
      </c>
      <c r="K42" s="17"/>
      <c r="L42" s="17" t="str">
        <f>"240,0"</f>
        <v>240,0</v>
      </c>
      <c r="M42" s="17" t="str">
        <f>"153,2160"</f>
        <v>153,2160</v>
      </c>
      <c r="N42" s="15" t="s">
        <v>59</v>
      </c>
    </row>
    <row r="43" spans="1:14" x14ac:dyDescent="0.2">
      <c r="A43" s="17" t="s">
        <v>182</v>
      </c>
      <c r="B43" s="15" t="s">
        <v>1313</v>
      </c>
      <c r="C43" s="15" t="s">
        <v>1314</v>
      </c>
      <c r="D43" s="15" t="s">
        <v>1092</v>
      </c>
      <c r="E43" s="50" t="str">
        <f>"0,6410"</f>
        <v>0,6410</v>
      </c>
      <c r="F43" s="15" t="s">
        <v>20</v>
      </c>
      <c r="G43" s="42" t="s">
        <v>808</v>
      </c>
      <c r="H43" s="65" t="s">
        <v>144</v>
      </c>
      <c r="I43" s="18" t="s">
        <v>145</v>
      </c>
      <c r="J43" s="18" t="s">
        <v>145</v>
      </c>
      <c r="K43" s="17"/>
      <c r="L43" s="17" t="str">
        <f>"210,0"</f>
        <v>210,0</v>
      </c>
      <c r="M43" s="17" t="str">
        <f>"134,6100"</f>
        <v>134,6100</v>
      </c>
      <c r="N43" s="15" t="s">
        <v>1315</v>
      </c>
    </row>
    <row r="44" spans="1:14" x14ac:dyDescent="0.2">
      <c r="A44" s="17" t="s">
        <v>276</v>
      </c>
      <c r="B44" s="15" t="s">
        <v>1316</v>
      </c>
      <c r="C44" s="15" t="s">
        <v>1317</v>
      </c>
      <c r="D44" s="15" t="s">
        <v>274</v>
      </c>
      <c r="E44" s="50" t="str">
        <f>"0,6424"</f>
        <v>0,6424</v>
      </c>
      <c r="F44" s="15" t="s">
        <v>1286</v>
      </c>
      <c r="G44" s="42" t="s">
        <v>1318</v>
      </c>
      <c r="H44" s="56" t="s">
        <v>124</v>
      </c>
      <c r="I44" s="16" t="s">
        <v>124</v>
      </c>
      <c r="J44" s="18" t="s">
        <v>143</v>
      </c>
      <c r="K44" s="17"/>
      <c r="L44" s="17" t="str">
        <f>"190,0"</f>
        <v>190,0</v>
      </c>
      <c r="M44" s="17" t="str">
        <f>"122,0560"</f>
        <v>122,0560</v>
      </c>
      <c r="N44" s="15" t="s">
        <v>59</v>
      </c>
    </row>
    <row r="45" spans="1:14" x14ac:dyDescent="0.2">
      <c r="A45" s="17" t="s">
        <v>281</v>
      </c>
      <c r="B45" s="15" t="s">
        <v>1319</v>
      </c>
      <c r="C45" s="15" t="s">
        <v>1320</v>
      </c>
      <c r="D45" s="15" t="s">
        <v>1321</v>
      </c>
      <c r="E45" s="50" t="str">
        <f>"0,6451"</f>
        <v>0,6451</v>
      </c>
      <c r="F45" s="15" t="s">
        <v>20</v>
      </c>
      <c r="G45" s="42" t="s">
        <v>697</v>
      </c>
      <c r="H45" s="65" t="s">
        <v>137</v>
      </c>
      <c r="I45" s="18" t="s">
        <v>123</v>
      </c>
      <c r="J45" s="18" t="s">
        <v>123</v>
      </c>
      <c r="K45" s="17"/>
      <c r="L45" s="17" t="str">
        <f>"175,0"</f>
        <v>175,0</v>
      </c>
      <c r="M45" s="17" t="str">
        <f>"112,8925"</f>
        <v>112,8925</v>
      </c>
      <c r="N45" s="15" t="s">
        <v>1322</v>
      </c>
    </row>
    <row r="46" spans="1:14" x14ac:dyDescent="0.2">
      <c r="A46" s="17" t="s">
        <v>285</v>
      </c>
      <c r="B46" s="15" t="s">
        <v>1323</v>
      </c>
      <c r="C46" s="15" t="s">
        <v>1324</v>
      </c>
      <c r="D46" s="15" t="s">
        <v>1325</v>
      </c>
      <c r="E46" s="50" t="str">
        <f>"0,6428"</f>
        <v>0,6428</v>
      </c>
      <c r="F46" s="15" t="s">
        <v>20</v>
      </c>
      <c r="G46" s="42" t="s">
        <v>1326</v>
      </c>
      <c r="H46" s="65" t="s">
        <v>98</v>
      </c>
      <c r="I46" s="18" t="s">
        <v>110</v>
      </c>
      <c r="J46" s="18" t="s">
        <v>227</v>
      </c>
      <c r="K46" s="17"/>
      <c r="L46" s="17" t="str">
        <f>"160,0"</f>
        <v>160,0</v>
      </c>
      <c r="M46" s="17" t="str">
        <f>"102,8480"</f>
        <v>102,8480</v>
      </c>
      <c r="N46" s="15" t="s">
        <v>1327</v>
      </c>
    </row>
    <row r="47" spans="1:14" x14ac:dyDescent="0.2">
      <c r="A47" s="17" t="s">
        <v>16</v>
      </c>
      <c r="B47" s="15" t="s">
        <v>1328</v>
      </c>
      <c r="C47" s="15" t="s">
        <v>1329</v>
      </c>
      <c r="D47" s="15" t="s">
        <v>1079</v>
      </c>
      <c r="E47" s="50" t="str">
        <f>"0,6495"</f>
        <v>0,6495</v>
      </c>
      <c r="F47" s="15" t="s">
        <v>20</v>
      </c>
      <c r="G47" s="42" t="s">
        <v>579</v>
      </c>
      <c r="H47" s="65" t="s">
        <v>58</v>
      </c>
      <c r="I47" s="16" t="s">
        <v>237</v>
      </c>
      <c r="J47" s="18" t="s">
        <v>118</v>
      </c>
      <c r="K47" s="17"/>
      <c r="L47" s="17" t="str">
        <f>"137,5"</f>
        <v>137,5</v>
      </c>
      <c r="M47" s="17" t="str">
        <f>"99,4872"</f>
        <v>99,4872</v>
      </c>
      <c r="N47" s="15" t="s">
        <v>1330</v>
      </c>
    </row>
    <row r="48" spans="1:14" x14ac:dyDescent="0.2">
      <c r="A48" s="17" t="s">
        <v>16</v>
      </c>
      <c r="B48" s="15" t="s">
        <v>1331</v>
      </c>
      <c r="C48" s="15" t="s">
        <v>1332</v>
      </c>
      <c r="D48" s="15" t="s">
        <v>647</v>
      </c>
      <c r="E48" s="50" t="str">
        <f>"0,6436"</f>
        <v>0,6436</v>
      </c>
      <c r="F48" s="15" t="s">
        <v>20</v>
      </c>
      <c r="G48" s="42" t="s">
        <v>761</v>
      </c>
      <c r="H48" s="65" t="s">
        <v>83</v>
      </c>
      <c r="I48" s="16" t="s">
        <v>118</v>
      </c>
      <c r="J48" s="16" t="s">
        <v>91</v>
      </c>
      <c r="K48" s="17"/>
      <c r="L48" s="17" t="str">
        <f>"142,5"</f>
        <v>142,5</v>
      </c>
      <c r="M48" s="17" t="str">
        <f>"114,6412"</f>
        <v>114,6412</v>
      </c>
      <c r="N48" s="15" t="s">
        <v>59</v>
      </c>
    </row>
    <row r="49" spans="1:14" x14ac:dyDescent="0.2">
      <c r="A49" s="21" t="s">
        <v>16</v>
      </c>
      <c r="B49" s="19" t="s">
        <v>1333</v>
      </c>
      <c r="C49" s="19" t="s">
        <v>1334</v>
      </c>
      <c r="D49" s="19" t="s">
        <v>1321</v>
      </c>
      <c r="E49" s="51" t="str">
        <f>"0,6451"</f>
        <v>0,6451</v>
      </c>
      <c r="F49" s="19" t="s">
        <v>20</v>
      </c>
      <c r="G49" s="48" t="s">
        <v>69</v>
      </c>
      <c r="H49" s="69" t="s">
        <v>53</v>
      </c>
      <c r="I49" s="20" t="s">
        <v>29</v>
      </c>
      <c r="J49" s="20" t="s">
        <v>30</v>
      </c>
      <c r="K49" s="21"/>
      <c r="L49" s="21" t="str">
        <f>"100,0"</f>
        <v>100,0</v>
      </c>
      <c r="M49" s="21" t="str">
        <f>"89,0238"</f>
        <v>89,0238</v>
      </c>
      <c r="N49" s="19" t="s">
        <v>374</v>
      </c>
    </row>
    <row r="50" spans="1:14" x14ac:dyDescent="0.2">
      <c r="B50" s="5" t="s">
        <v>38</v>
      </c>
    </row>
    <row r="51" spans="1:14" ht="15" x14ac:dyDescent="0.2">
      <c r="A51" s="81" t="s">
        <v>295</v>
      </c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4" x14ac:dyDescent="0.2">
      <c r="A52" s="14" t="s">
        <v>16</v>
      </c>
      <c r="B52" s="11" t="s">
        <v>1335</v>
      </c>
      <c r="C52" s="11" t="s">
        <v>1336</v>
      </c>
      <c r="D52" s="11" t="s">
        <v>1157</v>
      </c>
      <c r="E52" s="11" t="str">
        <f>"0,6126"</f>
        <v>0,6126</v>
      </c>
      <c r="F52" s="11" t="s">
        <v>96</v>
      </c>
      <c r="G52" s="11" t="s">
        <v>435</v>
      </c>
      <c r="H52" s="13" t="s">
        <v>144</v>
      </c>
      <c r="I52" s="13" t="s">
        <v>173</v>
      </c>
      <c r="J52" s="12" t="s">
        <v>145</v>
      </c>
      <c r="K52" s="14"/>
      <c r="L52" s="14" t="str">
        <f>"217,5"</f>
        <v>217,5</v>
      </c>
      <c r="M52" s="14" t="str">
        <f>"133,2405"</f>
        <v>133,2405</v>
      </c>
      <c r="N52" s="11" t="s">
        <v>102</v>
      </c>
    </row>
    <row r="53" spans="1:14" x14ac:dyDescent="0.2">
      <c r="A53" s="17" t="s">
        <v>60</v>
      </c>
      <c r="B53" s="15" t="s">
        <v>688</v>
      </c>
      <c r="C53" s="15" t="s">
        <v>689</v>
      </c>
      <c r="D53" s="15" t="s">
        <v>690</v>
      </c>
      <c r="E53" s="15" t="str">
        <f>"0,6134"</f>
        <v>0,6134</v>
      </c>
      <c r="F53" s="15" t="s">
        <v>20</v>
      </c>
      <c r="G53" s="15" t="s">
        <v>579</v>
      </c>
      <c r="H53" s="16" t="s">
        <v>124</v>
      </c>
      <c r="I53" s="18" t="s">
        <v>143</v>
      </c>
      <c r="J53" s="16" t="s">
        <v>143</v>
      </c>
      <c r="K53" s="17"/>
      <c r="L53" s="17" t="str">
        <f>"200,0"</f>
        <v>200,0</v>
      </c>
      <c r="M53" s="17" t="str">
        <f>"122,6800"</f>
        <v>122,6800</v>
      </c>
      <c r="N53" s="15" t="s">
        <v>59</v>
      </c>
    </row>
    <row r="54" spans="1:14" x14ac:dyDescent="0.2">
      <c r="A54" s="17" t="s">
        <v>65</v>
      </c>
      <c r="B54" s="15" t="s">
        <v>1337</v>
      </c>
      <c r="C54" s="15" t="s">
        <v>1338</v>
      </c>
      <c r="D54" s="15" t="s">
        <v>1339</v>
      </c>
      <c r="E54" s="15" t="str">
        <f>"0,6098"</f>
        <v>0,6098</v>
      </c>
      <c r="F54" s="15" t="s">
        <v>1340</v>
      </c>
      <c r="G54" s="15" t="s">
        <v>1341</v>
      </c>
      <c r="H54" s="16" t="s">
        <v>124</v>
      </c>
      <c r="I54" s="16" t="s">
        <v>143</v>
      </c>
      <c r="J54" s="18" t="s">
        <v>144</v>
      </c>
      <c r="K54" s="17"/>
      <c r="L54" s="17" t="str">
        <f>"200,0"</f>
        <v>200,0</v>
      </c>
      <c r="M54" s="17" t="str">
        <f>"121,9600"</f>
        <v>121,9600</v>
      </c>
      <c r="N54" s="15" t="s">
        <v>59</v>
      </c>
    </row>
    <row r="55" spans="1:14" x14ac:dyDescent="0.2">
      <c r="A55" s="17" t="s">
        <v>182</v>
      </c>
      <c r="B55" s="15" t="s">
        <v>1342</v>
      </c>
      <c r="C55" s="15" t="s">
        <v>1343</v>
      </c>
      <c r="D55" s="15" t="s">
        <v>1150</v>
      </c>
      <c r="E55" s="15" t="str">
        <f>"0,6131"</f>
        <v>0,6131</v>
      </c>
      <c r="F55" s="15" t="s">
        <v>20</v>
      </c>
      <c r="G55" s="15" t="s">
        <v>401</v>
      </c>
      <c r="H55" s="16" t="s">
        <v>160</v>
      </c>
      <c r="I55" s="18" t="s">
        <v>1344</v>
      </c>
      <c r="J55" s="18" t="s">
        <v>1344</v>
      </c>
      <c r="K55" s="17"/>
      <c r="L55" s="17" t="str">
        <f>"195,0"</f>
        <v>195,0</v>
      </c>
      <c r="M55" s="17" t="str">
        <f>"119,5545"</f>
        <v>119,5545</v>
      </c>
      <c r="N55" s="15" t="s">
        <v>59</v>
      </c>
    </row>
    <row r="56" spans="1:14" x14ac:dyDescent="0.2">
      <c r="A56" s="17" t="s">
        <v>276</v>
      </c>
      <c r="B56" s="15" t="s">
        <v>1345</v>
      </c>
      <c r="C56" s="15" t="s">
        <v>1346</v>
      </c>
      <c r="D56" s="15" t="s">
        <v>1347</v>
      </c>
      <c r="E56" s="15" t="str">
        <f>"0,6211"</f>
        <v>0,6211</v>
      </c>
      <c r="F56" s="15" t="s">
        <v>20</v>
      </c>
      <c r="G56" s="15" t="s">
        <v>69</v>
      </c>
      <c r="H56" s="16" t="s">
        <v>137</v>
      </c>
      <c r="I56" s="16" t="s">
        <v>166</v>
      </c>
      <c r="J56" s="18" t="s">
        <v>1348</v>
      </c>
      <c r="K56" s="17"/>
      <c r="L56" s="17" t="str">
        <f>"185,0"</f>
        <v>185,0</v>
      </c>
      <c r="M56" s="17" t="str">
        <f>"114,9035"</f>
        <v>114,9035</v>
      </c>
      <c r="N56" s="15" t="s">
        <v>59</v>
      </c>
    </row>
    <row r="57" spans="1:14" x14ac:dyDescent="0.2">
      <c r="A57" s="17" t="s">
        <v>281</v>
      </c>
      <c r="B57" s="15" t="s">
        <v>1349</v>
      </c>
      <c r="C57" s="15" t="s">
        <v>689</v>
      </c>
      <c r="D57" s="15" t="s">
        <v>798</v>
      </c>
      <c r="E57" s="15" t="str">
        <f>"0,6166"</f>
        <v>0,6166</v>
      </c>
      <c r="F57" s="15" t="s">
        <v>20</v>
      </c>
      <c r="G57" s="15" t="s">
        <v>884</v>
      </c>
      <c r="H57" s="16" t="s">
        <v>123</v>
      </c>
      <c r="I57" s="16" t="s">
        <v>166</v>
      </c>
      <c r="J57" s="18" t="s">
        <v>124</v>
      </c>
      <c r="K57" s="17"/>
      <c r="L57" s="17" t="str">
        <f>"185,0"</f>
        <v>185,0</v>
      </c>
      <c r="M57" s="17" t="str">
        <f>"114,0710"</f>
        <v>114,0710</v>
      </c>
      <c r="N57" s="15" t="s">
        <v>1350</v>
      </c>
    </row>
    <row r="58" spans="1:14" x14ac:dyDescent="0.2">
      <c r="A58" s="17" t="s">
        <v>285</v>
      </c>
      <c r="B58" s="15" t="s">
        <v>1351</v>
      </c>
      <c r="C58" s="15" t="s">
        <v>1352</v>
      </c>
      <c r="D58" s="15" t="s">
        <v>1353</v>
      </c>
      <c r="E58" s="15" t="str">
        <f>"0,6161"</f>
        <v>0,6161</v>
      </c>
      <c r="F58" s="15" t="s">
        <v>20</v>
      </c>
      <c r="G58" s="15" t="s">
        <v>69</v>
      </c>
      <c r="H58" s="16" t="s">
        <v>137</v>
      </c>
      <c r="I58" s="16" t="s">
        <v>123</v>
      </c>
      <c r="J58" s="16" t="s">
        <v>166</v>
      </c>
      <c r="K58" s="17"/>
      <c r="L58" s="17" t="str">
        <f>"185,0"</f>
        <v>185,0</v>
      </c>
      <c r="M58" s="17" t="str">
        <f>"113,9785"</f>
        <v>113,9785</v>
      </c>
      <c r="N58" s="15" t="s">
        <v>59</v>
      </c>
    </row>
    <row r="59" spans="1:14" x14ac:dyDescent="0.2">
      <c r="A59" s="17" t="s">
        <v>1028</v>
      </c>
      <c r="B59" s="15" t="s">
        <v>1354</v>
      </c>
      <c r="C59" s="15" t="s">
        <v>1355</v>
      </c>
      <c r="D59" s="15" t="s">
        <v>590</v>
      </c>
      <c r="E59" s="15" t="str">
        <f>"0,6188"</f>
        <v>0,6188</v>
      </c>
      <c r="F59" s="15" t="s">
        <v>20</v>
      </c>
      <c r="G59" s="15" t="s">
        <v>69</v>
      </c>
      <c r="H59" s="16" t="s">
        <v>136</v>
      </c>
      <c r="I59" s="18" t="s">
        <v>98</v>
      </c>
      <c r="J59" s="18" t="s">
        <v>98</v>
      </c>
      <c r="K59" s="17"/>
      <c r="L59" s="17" t="str">
        <f>"150,0"</f>
        <v>150,0</v>
      </c>
      <c r="M59" s="17" t="str">
        <f>"92,8200"</f>
        <v>92,8200</v>
      </c>
      <c r="N59" s="15" t="s">
        <v>1356</v>
      </c>
    </row>
    <row r="60" spans="1:14" x14ac:dyDescent="0.2">
      <c r="A60" s="17" t="s">
        <v>16</v>
      </c>
      <c r="B60" s="15" t="s">
        <v>1357</v>
      </c>
      <c r="C60" s="15" t="s">
        <v>1358</v>
      </c>
      <c r="D60" s="15" t="s">
        <v>1359</v>
      </c>
      <c r="E60" s="15" t="str">
        <f>"0,6220"</f>
        <v>0,6220</v>
      </c>
      <c r="F60" s="15" t="s">
        <v>20</v>
      </c>
      <c r="G60" s="15" t="s">
        <v>69</v>
      </c>
      <c r="H60" s="16" t="s">
        <v>160</v>
      </c>
      <c r="I60" s="18" t="s">
        <v>143</v>
      </c>
      <c r="J60" s="18" t="s">
        <v>143</v>
      </c>
      <c r="K60" s="17"/>
      <c r="L60" s="17" t="str">
        <f>"195,0"</f>
        <v>195,0</v>
      </c>
      <c r="M60" s="17" t="str">
        <f>"122,9881"</f>
        <v>122,9881</v>
      </c>
      <c r="N60" s="15" t="s">
        <v>59</v>
      </c>
    </row>
    <row r="61" spans="1:14" x14ac:dyDescent="0.2">
      <c r="A61" s="17" t="s">
        <v>60</v>
      </c>
      <c r="B61" s="15" t="s">
        <v>1342</v>
      </c>
      <c r="C61" s="15" t="s">
        <v>1360</v>
      </c>
      <c r="D61" s="15" t="s">
        <v>1150</v>
      </c>
      <c r="E61" s="15" t="str">
        <f>"0,6131"</f>
        <v>0,6131</v>
      </c>
      <c r="F61" s="15" t="s">
        <v>20</v>
      </c>
      <c r="G61" s="15" t="s">
        <v>401</v>
      </c>
      <c r="H61" s="16" t="s">
        <v>160</v>
      </c>
      <c r="I61" s="18" t="s">
        <v>1344</v>
      </c>
      <c r="J61" s="18" t="s">
        <v>1344</v>
      </c>
      <c r="K61" s="17"/>
      <c r="L61" s="17" t="str">
        <f>"195,0"</f>
        <v>195,0</v>
      </c>
      <c r="M61" s="17" t="str">
        <f>"126,7278"</f>
        <v>126,7278</v>
      </c>
      <c r="N61" s="15" t="s">
        <v>59</v>
      </c>
    </row>
    <row r="62" spans="1:14" x14ac:dyDescent="0.2">
      <c r="A62" s="17" t="s">
        <v>65</v>
      </c>
      <c r="B62" s="15" t="s">
        <v>1361</v>
      </c>
      <c r="C62" s="15" t="s">
        <v>1362</v>
      </c>
      <c r="D62" s="15" t="s">
        <v>681</v>
      </c>
      <c r="E62" s="15" t="str">
        <f>"0,6096"</f>
        <v>0,6096</v>
      </c>
      <c r="F62" s="15" t="s">
        <v>20</v>
      </c>
      <c r="G62" s="15" t="s">
        <v>791</v>
      </c>
      <c r="H62" s="16" t="s">
        <v>98</v>
      </c>
      <c r="I62" s="16" t="s">
        <v>99</v>
      </c>
      <c r="J62" s="18" t="s">
        <v>229</v>
      </c>
      <c r="K62" s="17"/>
      <c r="L62" s="17" t="str">
        <f>"170,0"</f>
        <v>170,0</v>
      </c>
      <c r="M62" s="17" t="str">
        <f>"111,7153"</f>
        <v>111,7153</v>
      </c>
      <c r="N62" s="15" t="s">
        <v>59</v>
      </c>
    </row>
    <row r="63" spans="1:14" x14ac:dyDescent="0.2">
      <c r="A63" s="21" t="s">
        <v>16</v>
      </c>
      <c r="B63" s="19" t="s">
        <v>1363</v>
      </c>
      <c r="C63" s="19" t="s">
        <v>1364</v>
      </c>
      <c r="D63" s="19" t="s">
        <v>1365</v>
      </c>
      <c r="E63" s="19" t="str">
        <f>"0,6257"</f>
        <v>0,6257</v>
      </c>
      <c r="F63" s="19" t="s">
        <v>20</v>
      </c>
      <c r="G63" s="19" t="s">
        <v>1366</v>
      </c>
      <c r="H63" s="20" t="s">
        <v>322</v>
      </c>
      <c r="I63" s="20" t="s">
        <v>478</v>
      </c>
      <c r="J63" s="22" t="s">
        <v>98</v>
      </c>
      <c r="K63" s="21"/>
      <c r="L63" s="21" t="str">
        <f>"157,5"</f>
        <v>157,5</v>
      </c>
      <c r="M63" s="21" t="str">
        <f>"154,2272"</f>
        <v>154,2272</v>
      </c>
      <c r="N63" s="19" t="s">
        <v>59</v>
      </c>
    </row>
    <row r="64" spans="1:14" x14ac:dyDescent="0.2">
      <c r="B64" s="5" t="s">
        <v>38</v>
      </c>
    </row>
    <row r="65" spans="1:14" ht="15" x14ac:dyDescent="0.2">
      <c r="A65" s="81" t="s">
        <v>323</v>
      </c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4" x14ac:dyDescent="0.2">
      <c r="A66" s="14" t="s">
        <v>16</v>
      </c>
      <c r="B66" s="11" t="s">
        <v>1367</v>
      </c>
      <c r="C66" s="11" t="s">
        <v>1368</v>
      </c>
      <c r="D66" s="11" t="s">
        <v>1369</v>
      </c>
      <c r="E66" s="11" t="str">
        <f>"0,5905"</f>
        <v>0,5905</v>
      </c>
      <c r="F66" s="11" t="s">
        <v>20</v>
      </c>
      <c r="G66" s="11" t="s">
        <v>69</v>
      </c>
      <c r="H66" s="13" t="s">
        <v>124</v>
      </c>
      <c r="I66" s="13" t="s">
        <v>143</v>
      </c>
      <c r="J66" s="13" t="s">
        <v>144</v>
      </c>
      <c r="K66" s="14"/>
      <c r="L66" s="14" t="str">
        <f>"210,0"</f>
        <v>210,0</v>
      </c>
      <c r="M66" s="14" t="str">
        <f>"124,0050"</f>
        <v>124,0050</v>
      </c>
      <c r="N66" s="11" t="s">
        <v>59</v>
      </c>
    </row>
    <row r="67" spans="1:14" x14ac:dyDescent="0.2">
      <c r="A67" s="17" t="s">
        <v>60</v>
      </c>
      <c r="B67" s="15" t="s">
        <v>1370</v>
      </c>
      <c r="C67" s="15" t="s">
        <v>1371</v>
      </c>
      <c r="D67" s="15" t="s">
        <v>1372</v>
      </c>
      <c r="E67" s="15" t="str">
        <f>"0,5976"</f>
        <v>0,5976</v>
      </c>
      <c r="F67" s="15" t="s">
        <v>20</v>
      </c>
      <c r="G67" s="15" t="s">
        <v>1373</v>
      </c>
      <c r="H67" s="16" t="s">
        <v>109</v>
      </c>
      <c r="I67" s="16" t="s">
        <v>110</v>
      </c>
      <c r="J67" s="16" t="s">
        <v>99</v>
      </c>
      <c r="K67" s="17"/>
      <c r="L67" s="17" t="str">
        <f>"170,0"</f>
        <v>170,0</v>
      </c>
      <c r="M67" s="17" t="str">
        <f>"101,5920"</f>
        <v>101,5920</v>
      </c>
      <c r="N67" s="15" t="s">
        <v>59</v>
      </c>
    </row>
    <row r="68" spans="1:14" x14ac:dyDescent="0.2">
      <c r="A68" s="17" t="s">
        <v>16</v>
      </c>
      <c r="B68" s="15" t="s">
        <v>1374</v>
      </c>
      <c r="C68" s="15" t="s">
        <v>1375</v>
      </c>
      <c r="D68" s="15" t="s">
        <v>1175</v>
      </c>
      <c r="E68" s="15" t="str">
        <f>"0,5928"</f>
        <v>0,5928</v>
      </c>
      <c r="F68" s="15" t="s">
        <v>20</v>
      </c>
      <c r="G68" s="15" t="s">
        <v>69</v>
      </c>
      <c r="H68" s="16" t="s">
        <v>144</v>
      </c>
      <c r="I68" s="16" t="s">
        <v>223</v>
      </c>
      <c r="J68" s="16" t="s">
        <v>173</v>
      </c>
      <c r="K68" s="17"/>
      <c r="L68" s="17" t="str">
        <f>"217,5"</f>
        <v>217,5</v>
      </c>
      <c r="M68" s="17" t="str">
        <f>"128,9340"</f>
        <v>128,9340</v>
      </c>
      <c r="N68" s="15" t="s">
        <v>59</v>
      </c>
    </row>
    <row r="69" spans="1:14" x14ac:dyDescent="0.2">
      <c r="A69" s="17" t="s">
        <v>60</v>
      </c>
      <c r="B69" s="15" t="s">
        <v>1376</v>
      </c>
      <c r="C69" s="15" t="s">
        <v>1377</v>
      </c>
      <c r="D69" s="15" t="s">
        <v>1378</v>
      </c>
      <c r="E69" s="15" t="str">
        <f>"0,5937"</f>
        <v>0,5937</v>
      </c>
      <c r="F69" s="15" t="s">
        <v>20</v>
      </c>
      <c r="G69" s="15" t="s">
        <v>69</v>
      </c>
      <c r="H69" s="16" t="s">
        <v>144</v>
      </c>
      <c r="I69" s="18" t="s">
        <v>161</v>
      </c>
      <c r="J69" s="18" t="s">
        <v>161</v>
      </c>
      <c r="K69" s="17"/>
      <c r="L69" s="17" t="str">
        <f>"210,0"</f>
        <v>210,0</v>
      </c>
      <c r="M69" s="17" t="str">
        <f>"124,6770"</f>
        <v>124,6770</v>
      </c>
      <c r="N69" s="15" t="s">
        <v>1275</v>
      </c>
    </row>
    <row r="70" spans="1:14" x14ac:dyDescent="0.2">
      <c r="A70" s="17" t="s">
        <v>65</v>
      </c>
      <c r="B70" s="15" t="s">
        <v>1379</v>
      </c>
      <c r="C70" s="15" t="s">
        <v>1380</v>
      </c>
      <c r="D70" s="15" t="s">
        <v>1381</v>
      </c>
      <c r="E70" s="15" t="str">
        <f>"0,5970"</f>
        <v>0,5970</v>
      </c>
      <c r="F70" s="15" t="s">
        <v>1286</v>
      </c>
      <c r="G70" s="15" t="s">
        <v>553</v>
      </c>
      <c r="H70" s="16" t="s">
        <v>143</v>
      </c>
      <c r="I70" s="16" t="s">
        <v>392</v>
      </c>
      <c r="J70" s="18" t="s">
        <v>144</v>
      </c>
      <c r="K70" s="17"/>
      <c r="L70" s="17" t="str">
        <f>"207,5"</f>
        <v>207,5</v>
      </c>
      <c r="M70" s="17" t="str">
        <f>"123,8775"</f>
        <v>123,8775</v>
      </c>
      <c r="N70" s="15" t="s">
        <v>554</v>
      </c>
    </row>
    <row r="71" spans="1:14" x14ac:dyDescent="0.2">
      <c r="A71" s="17" t="s">
        <v>182</v>
      </c>
      <c r="B71" s="15" t="s">
        <v>1382</v>
      </c>
      <c r="C71" s="15" t="s">
        <v>1383</v>
      </c>
      <c r="D71" s="15" t="s">
        <v>1384</v>
      </c>
      <c r="E71" s="15" t="str">
        <f>"0,5890"</f>
        <v>0,5890</v>
      </c>
      <c r="F71" s="15" t="s">
        <v>20</v>
      </c>
      <c r="G71" s="15" t="s">
        <v>548</v>
      </c>
      <c r="H71" s="16" t="s">
        <v>575</v>
      </c>
      <c r="I71" s="16" t="s">
        <v>143</v>
      </c>
      <c r="J71" s="18" t="s">
        <v>144</v>
      </c>
      <c r="K71" s="17"/>
      <c r="L71" s="17" t="str">
        <f>"200,0"</f>
        <v>200,0</v>
      </c>
      <c r="M71" s="17" t="str">
        <f>"117,8000"</f>
        <v>117,8000</v>
      </c>
      <c r="N71" s="15" t="s">
        <v>59</v>
      </c>
    </row>
    <row r="72" spans="1:14" x14ac:dyDescent="0.2">
      <c r="A72" s="17" t="s">
        <v>276</v>
      </c>
      <c r="B72" s="15" t="s">
        <v>1385</v>
      </c>
      <c r="C72" s="15" t="s">
        <v>1386</v>
      </c>
      <c r="D72" s="15" t="s">
        <v>1387</v>
      </c>
      <c r="E72" s="15" t="str">
        <f>"0,5956"</f>
        <v>0,5956</v>
      </c>
      <c r="F72" s="15" t="s">
        <v>20</v>
      </c>
      <c r="G72" s="15" t="s">
        <v>1388</v>
      </c>
      <c r="H72" s="16" t="s">
        <v>152</v>
      </c>
      <c r="I72" s="16" t="s">
        <v>575</v>
      </c>
      <c r="J72" s="18" t="s">
        <v>143</v>
      </c>
      <c r="K72" s="17"/>
      <c r="L72" s="17" t="str">
        <f>"192,5"</f>
        <v>192,5</v>
      </c>
      <c r="M72" s="17" t="str">
        <f>"114,6530"</f>
        <v>114,6530</v>
      </c>
      <c r="N72" s="15" t="s">
        <v>59</v>
      </c>
    </row>
    <row r="73" spans="1:14" x14ac:dyDescent="0.2">
      <c r="A73" s="17" t="s">
        <v>281</v>
      </c>
      <c r="B73" s="15" t="s">
        <v>1389</v>
      </c>
      <c r="C73" s="15" t="s">
        <v>1390</v>
      </c>
      <c r="D73" s="15" t="s">
        <v>1378</v>
      </c>
      <c r="E73" s="15" t="str">
        <f>"0,5937"</f>
        <v>0,5937</v>
      </c>
      <c r="F73" s="15" t="s">
        <v>20</v>
      </c>
      <c r="G73" s="15" t="s">
        <v>1391</v>
      </c>
      <c r="H73" s="16" t="s">
        <v>137</v>
      </c>
      <c r="I73" s="16" t="s">
        <v>166</v>
      </c>
      <c r="J73" s="18" t="s">
        <v>160</v>
      </c>
      <c r="K73" s="17"/>
      <c r="L73" s="17" t="str">
        <f>"185,0"</f>
        <v>185,0</v>
      </c>
      <c r="M73" s="17" t="str">
        <f>"109,8345"</f>
        <v>109,8345</v>
      </c>
      <c r="N73" s="15" t="s">
        <v>59</v>
      </c>
    </row>
    <row r="74" spans="1:14" x14ac:dyDescent="0.2">
      <c r="A74" s="17" t="s">
        <v>285</v>
      </c>
      <c r="B74" s="15" t="s">
        <v>1392</v>
      </c>
      <c r="C74" s="15" t="s">
        <v>1393</v>
      </c>
      <c r="D74" s="15" t="s">
        <v>1394</v>
      </c>
      <c r="E74" s="15" t="str">
        <f>"0,5941"</f>
        <v>0,5941</v>
      </c>
      <c r="F74" s="15" t="s">
        <v>20</v>
      </c>
      <c r="G74" s="15" t="s">
        <v>69</v>
      </c>
      <c r="H74" s="16" t="s">
        <v>123</v>
      </c>
      <c r="I74" s="18" t="s">
        <v>575</v>
      </c>
      <c r="J74" s="18" t="s">
        <v>575</v>
      </c>
      <c r="K74" s="17"/>
      <c r="L74" s="17" t="str">
        <f>"180,0"</f>
        <v>180,0</v>
      </c>
      <c r="M74" s="17" t="str">
        <f>"106,9380"</f>
        <v>106,9380</v>
      </c>
      <c r="N74" s="15" t="s">
        <v>59</v>
      </c>
    </row>
    <row r="75" spans="1:14" x14ac:dyDescent="0.2">
      <c r="A75" s="17" t="s">
        <v>1028</v>
      </c>
      <c r="B75" s="15" t="s">
        <v>1395</v>
      </c>
      <c r="C75" s="15" t="s">
        <v>1396</v>
      </c>
      <c r="D75" s="15" t="s">
        <v>1397</v>
      </c>
      <c r="E75" s="15" t="str">
        <f>"0,6006"</f>
        <v>0,6006</v>
      </c>
      <c r="F75" s="15" t="s">
        <v>20</v>
      </c>
      <c r="G75" s="15" t="s">
        <v>605</v>
      </c>
      <c r="H75" s="16" t="s">
        <v>118</v>
      </c>
      <c r="I75" s="16" t="s">
        <v>136</v>
      </c>
      <c r="J75" s="18" t="s">
        <v>98</v>
      </c>
      <c r="K75" s="17"/>
      <c r="L75" s="17" t="str">
        <f>"150,0"</f>
        <v>150,0</v>
      </c>
      <c r="M75" s="17" t="str">
        <f>"90,0900"</f>
        <v>90,0900</v>
      </c>
      <c r="N75" s="15" t="s">
        <v>59</v>
      </c>
    </row>
    <row r="76" spans="1:14" x14ac:dyDescent="0.2">
      <c r="A76" s="17" t="s">
        <v>16</v>
      </c>
      <c r="B76" s="15" t="s">
        <v>1376</v>
      </c>
      <c r="C76" s="15" t="s">
        <v>1398</v>
      </c>
      <c r="D76" s="15" t="s">
        <v>1378</v>
      </c>
      <c r="E76" s="15" t="str">
        <f>"0,5937"</f>
        <v>0,5937</v>
      </c>
      <c r="F76" s="15" t="s">
        <v>20</v>
      </c>
      <c r="G76" s="15" t="s">
        <v>69</v>
      </c>
      <c r="H76" s="16" t="s">
        <v>144</v>
      </c>
      <c r="I76" s="18" t="s">
        <v>161</v>
      </c>
      <c r="J76" s="18" t="s">
        <v>161</v>
      </c>
      <c r="K76" s="17"/>
      <c r="L76" s="17" t="str">
        <f>"210,0"</f>
        <v>210,0</v>
      </c>
      <c r="M76" s="17" t="str">
        <f>"132,1576"</f>
        <v>132,1576</v>
      </c>
      <c r="N76" s="15" t="s">
        <v>1275</v>
      </c>
    </row>
    <row r="77" spans="1:14" x14ac:dyDescent="0.2">
      <c r="A77" s="17" t="s">
        <v>60</v>
      </c>
      <c r="B77" s="15" t="s">
        <v>1399</v>
      </c>
      <c r="C77" s="15" t="s">
        <v>1400</v>
      </c>
      <c r="D77" s="15" t="s">
        <v>1401</v>
      </c>
      <c r="E77" s="15" t="str">
        <f>"0,5994"</f>
        <v>0,5994</v>
      </c>
      <c r="F77" s="15" t="s">
        <v>20</v>
      </c>
      <c r="G77" s="15" t="s">
        <v>1402</v>
      </c>
      <c r="H77" s="16" t="s">
        <v>166</v>
      </c>
      <c r="I77" s="16" t="s">
        <v>124</v>
      </c>
      <c r="J77" s="18" t="s">
        <v>160</v>
      </c>
      <c r="K77" s="17"/>
      <c r="L77" s="17" t="str">
        <f>"190,0"</f>
        <v>190,0</v>
      </c>
      <c r="M77" s="17" t="str">
        <f>"120,7192"</f>
        <v>120,7192</v>
      </c>
      <c r="N77" s="15" t="s">
        <v>59</v>
      </c>
    </row>
    <row r="78" spans="1:14" x14ac:dyDescent="0.2">
      <c r="A78" s="17" t="s">
        <v>65</v>
      </c>
      <c r="B78" s="15" t="s">
        <v>1403</v>
      </c>
      <c r="C78" s="15" t="s">
        <v>1404</v>
      </c>
      <c r="D78" s="15" t="s">
        <v>700</v>
      </c>
      <c r="E78" s="15" t="str">
        <f>"0,5923"</f>
        <v>0,5923</v>
      </c>
      <c r="F78" s="15" t="s">
        <v>20</v>
      </c>
      <c r="G78" s="15" t="s">
        <v>69</v>
      </c>
      <c r="H78" s="16" t="s">
        <v>99</v>
      </c>
      <c r="I78" s="16" t="s">
        <v>123</v>
      </c>
      <c r="J78" s="18" t="s">
        <v>124</v>
      </c>
      <c r="K78" s="17"/>
      <c r="L78" s="17" t="str">
        <f>"180,0"</f>
        <v>180,0</v>
      </c>
      <c r="M78" s="17" t="str">
        <f>"109,5992"</f>
        <v>109,5992</v>
      </c>
      <c r="N78" s="15" t="s">
        <v>59</v>
      </c>
    </row>
    <row r="79" spans="1:14" x14ac:dyDescent="0.2">
      <c r="A79" s="17" t="s">
        <v>182</v>
      </c>
      <c r="B79" s="15" t="s">
        <v>1405</v>
      </c>
      <c r="C79" s="15" t="s">
        <v>1406</v>
      </c>
      <c r="D79" s="15" t="s">
        <v>1378</v>
      </c>
      <c r="E79" s="15" t="str">
        <f>"0,5937"</f>
        <v>0,5937</v>
      </c>
      <c r="F79" s="15" t="s">
        <v>190</v>
      </c>
      <c r="G79" s="15" t="s">
        <v>1407</v>
      </c>
      <c r="H79" s="16" t="s">
        <v>125</v>
      </c>
      <c r="I79" s="18" t="s">
        <v>99</v>
      </c>
      <c r="J79" s="16" t="s">
        <v>99</v>
      </c>
      <c r="K79" s="17"/>
      <c r="L79" s="17" t="str">
        <f>"170,0"</f>
        <v>170,0</v>
      </c>
      <c r="M79" s="17" t="str">
        <f>"102,3420"</f>
        <v>102,3420</v>
      </c>
      <c r="N79" s="15" t="s">
        <v>59</v>
      </c>
    </row>
    <row r="80" spans="1:14" x14ac:dyDescent="0.2">
      <c r="A80" s="17" t="s">
        <v>276</v>
      </c>
      <c r="B80" s="15" t="s">
        <v>330</v>
      </c>
      <c r="C80" s="15" t="s">
        <v>331</v>
      </c>
      <c r="D80" s="15" t="s">
        <v>332</v>
      </c>
      <c r="E80" s="15" t="str">
        <f>"0,5910"</f>
        <v>0,5910</v>
      </c>
      <c r="F80" s="15" t="s">
        <v>20</v>
      </c>
      <c r="G80" s="15" t="s">
        <v>279</v>
      </c>
      <c r="H80" s="16" t="s">
        <v>118</v>
      </c>
      <c r="I80" s="16" t="s">
        <v>136</v>
      </c>
      <c r="J80" s="16" t="s">
        <v>98</v>
      </c>
      <c r="K80" s="17"/>
      <c r="L80" s="17" t="str">
        <f>"160,0"</f>
        <v>160,0</v>
      </c>
      <c r="M80" s="17" t="str">
        <f>"98,7206"</f>
        <v>98,7206</v>
      </c>
      <c r="N80" s="15" t="s">
        <v>59</v>
      </c>
    </row>
    <row r="81" spans="1:14" x14ac:dyDescent="0.2">
      <c r="A81" s="21" t="s">
        <v>16</v>
      </c>
      <c r="B81" s="19" t="s">
        <v>1408</v>
      </c>
      <c r="C81" s="19" t="s">
        <v>1409</v>
      </c>
      <c r="D81" s="19" t="s">
        <v>1410</v>
      </c>
      <c r="E81" s="19" t="str">
        <f>"0,5998"</f>
        <v>0,5998</v>
      </c>
      <c r="F81" s="19" t="s">
        <v>20</v>
      </c>
      <c r="G81" s="19" t="s">
        <v>69</v>
      </c>
      <c r="H81" s="20" t="s">
        <v>118</v>
      </c>
      <c r="I81" s="22" t="s">
        <v>136</v>
      </c>
      <c r="J81" s="22" t="s">
        <v>136</v>
      </c>
      <c r="K81" s="21"/>
      <c r="L81" s="21" t="str">
        <f>"140,0"</f>
        <v>140,0</v>
      </c>
      <c r="M81" s="21" t="str">
        <f>"115,8814"</f>
        <v>115,8814</v>
      </c>
      <c r="N81" s="19" t="s">
        <v>59</v>
      </c>
    </row>
    <row r="82" spans="1:14" x14ac:dyDescent="0.2">
      <c r="B82" s="5" t="s">
        <v>38</v>
      </c>
    </row>
    <row r="83" spans="1:14" ht="15" x14ac:dyDescent="0.2">
      <c r="A83" s="81" t="s">
        <v>333</v>
      </c>
      <c r="B83" s="81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</row>
    <row r="84" spans="1:14" x14ac:dyDescent="0.2">
      <c r="A84" s="14" t="s">
        <v>16</v>
      </c>
      <c r="B84" s="11" t="s">
        <v>1411</v>
      </c>
      <c r="C84" s="11" t="s">
        <v>1412</v>
      </c>
      <c r="D84" s="11" t="s">
        <v>1413</v>
      </c>
      <c r="E84" s="11" t="str">
        <f>"0,5763"</f>
        <v>0,5763</v>
      </c>
      <c r="F84" s="11" t="s">
        <v>20</v>
      </c>
      <c r="G84" s="11" t="s">
        <v>448</v>
      </c>
      <c r="H84" s="13" t="s">
        <v>250</v>
      </c>
      <c r="I84" s="13" t="s">
        <v>154</v>
      </c>
      <c r="J84" s="14"/>
      <c r="K84" s="14"/>
      <c r="L84" s="14" t="str">
        <f>"250,0"</f>
        <v>250,0</v>
      </c>
      <c r="M84" s="14" t="str">
        <f>"144,0750"</f>
        <v>144,0750</v>
      </c>
      <c r="N84" s="11" t="s">
        <v>59</v>
      </c>
    </row>
    <row r="85" spans="1:14" x14ac:dyDescent="0.2">
      <c r="A85" s="17" t="s">
        <v>60</v>
      </c>
      <c r="B85" s="15" t="s">
        <v>1414</v>
      </c>
      <c r="C85" s="15" t="s">
        <v>1415</v>
      </c>
      <c r="D85" s="15" t="s">
        <v>1416</v>
      </c>
      <c r="E85" s="15" t="str">
        <f>"0,5782"</f>
        <v>0,5782</v>
      </c>
      <c r="F85" s="15" t="s">
        <v>20</v>
      </c>
      <c r="G85" s="15" t="s">
        <v>69</v>
      </c>
      <c r="H85" s="16" t="s">
        <v>101</v>
      </c>
      <c r="I85" s="18" t="s">
        <v>644</v>
      </c>
      <c r="J85" s="18" t="s">
        <v>644</v>
      </c>
      <c r="K85" s="17"/>
      <c r="L85" s="17" t="str">
        <f>"220,0"</f>
        <v>220,0</v>
      </c>
      <c r="M85" s="17" t="str">
        <f>"127,2040"</f>
        <v>127,2040</v>
      </c>
      <c r="N85" s="15" t="s">
        <v>59</v>
      </c>
    </row>
    <row r="86" spans="1:14" x14ac:dyDescent="0.2">
      <c r="A86" s="17" t="s">
        <v>65</v>
      </c>
      <c r="B86" s="15" t="s">
        <v>1417</v>
      </c>
      <c r="C86" s="15" t="s">
        <v>1418</v>
      </c>
      <c r="D86" s="15" t="s">
        <v>1419</v>
      </c>
      <c r="E86" s="15" t="str">
        <f>"0,5723"</f>
        <v>0,5723</v>
      </c>
      <c r="F86" s="15" t="s">
        <v>20</v>
      </c>
      <c r="G86" s="15" t="s">
        <v>633</v>
      </c>
      <c r="H86" s="16" t="s">
        <v>124</v>
      </c>
      <c r="I86" s="16" t="s">
        <v>1344</v>
      </c>
      <c r="J86" s="18" t="s">
        <v>144</v>
      </c>
      <c r="K86" s="17"/>
      <c r="L86" s="17" t="str">
        <f>"202,5"</f>
        <v>202,5</v>
      </c>
      <c r="M86" s="17" t="str">
        <f>"115,8908"</f>
        <v>115,8908</v>
      </c>
      <c r="N86" s="15" t="s">
        <v>1420</v>
      </c>
    </row>
    <row r="87" spans="1:14" x14ac:dyDescent="0.2">
      <c r="A87" s="17" t="s">
        <v>182</v>
      </c>
      <c r="B87" s="15" t="s">
        <v>1421</v>
      </c>
      <c r="C87" s="15" t="s">
        <v>1422</v>
      </c>
      <c r="D87" s="15" t="s">
        <v>1423</v>
      </c>
      <c r="E87" s="15" t="str">
        <f>"0,5808"</f>
        <v>0,5808</v>
      </c>
      <c r="F87" s="15" t="s">
        <v>20</v>
      </c>
      <c r="G87" s="15" t="s">
        <v>615</v>
      </c>
      <c r="H87" s="16" t="s">
        <v>124</v>
      </c>
      <c r="I87" s="18" t="s">
        <v>143</v>
      </c>
      <c r="J87" s="18" t="s">
        <v>143</v>
      </c>
      <c r="K87" s="17"/>
      <c r="L87" s="17" t="str">
        <f>"190,0"</f>
        <v>190,0</v>
      </c>
      <c r="M87" s="17" t="str">
        <f>"110,3520"</f>
        <v>110,3520</v>
      </c>
      <c r="N87" s="15" t="s">
        <v>1424</v>
      </c>
    </row>
    <row r="88" spans="1:14" x14ac:dyDescent="0.2">
      <c r="A88" s="17" t="s">
        <v>276</v>
      </c>
      <c r="B88" s="15" t="s">
        <v>1425</v>
      </c>
      <c r="C88" s="15" t="s">
        <v>986</v>
      </c>
      <c r="D88" s="15" t="s">
        <v>1426</v>
      </c>
      <c r="E88" s="15" t="str">
        <f>"0,5804"</f>
        <v>0,5804</v>
      </c>
      <c r="F88" s="15" t="s">
        <v>20</v>
      </c>
      <c r="G88" s="15" t="s">
        <v>69</v>
      </c>
      <c r="H88" s="16" t="s">
        <v>90</v>
      </c>
      <c r="I88" s="16" t="s">
        <v>58</v>
      </c>
      <c r="J88" s="16" t="s">
        <v>83</v>
      </c>
      <c r="K88" s="17"/>
      <c r="L88" s="17" t="str">
        <f>"135,0"</f>
        <v>135,0</v>
      </c>
      <c r="M88" s="17" t="str">
        <f>"78,3540"</f>
        <v>78,3540</v>
      </c>
      <c r="N88" s="15" t="s">
        <v>59</v>
      </c>
    </row>
    <row r="89" spans="1:14" x14ac:dyDescent="0.2">
      <c r="A89" s="17" t="s">
        <v>186</v>
      </c>
      <c r="B89" s="15" t="s">
        <v>1427</v>
      </c>
      <c r="C89" s="15" t="s">
        <v>1428</v>
      </c>
      <c r="D89" s="15" t="s">
        <v>1429</v>
      </c>
      <c r="E89" s="15" t="str">
        <f>"0,5746"</f>
        <v>0,5746</v>
      </c>
      <c r="F89" s="15" t="s">
        <v>20</v>
      </c>
      <c r="G89" s="15" t="s">
        <v>1430</v>
      </c>
      <c r="H89" s="18" t="s">
        <v>145</v>
      </c>
      <c r="I89" s="18" t="s">
        <v>145</v>
      </c>
      <c r="J89" s="18" t="s">
        <v>145</v>
      </c>
      <c r="K89" s="17"/>
      <c r="L89" s="17" t="str">
        <f>"0.00"</f>
        <v>0.00</v>
      </c>
      <c r="M89" s="17" t="str">
        <f>"0,0000"</f>
        <v>0,0000</v>
      </c>
      <c r="N89" s="15" t="s">
        <v>1431</v>
      </c>
    </row>
    <row r="90" spans="1:14" x14ac:dyDescent="0.2">
      <c r="A90" s="17" t="s">
        <v>16</v>
      </c>
      <c r="B90" s="15" t="s">
        <v>1432</v>
      </c>
      <c r="C90" s="15" t="s">
        <v>1433</v>
      </c>
      <c r="D90" s="15" t="s">
        <v>1434</v>
      </c>
      <c r="E90" s="15" t="str">
        <f>"0,5852"</f>
        <v>0,5852</v>
      </c>
      <c r="F90" s="15" t="s">
        <v>20</v>
      </c>
      <c r="G90" s="15" t="s">
        <v>791</v>
      </c>
      <c r="H90" s="18" t="s">
        <v>124</v>
      </c>
      <c r="I90" s="16" t="s">
        <v>124</v>
      </c>
      <c r="J90" s="18" t="s">
        <v>143</v>
      </c>
      <c r="K90" s="17"/>
      <c r="L90" s="17" t="str">
        <f>"190,0"</f>
        <v>190,0</v>
      </c>
      <c r="M90" s="17" t="str">
        <f>"119,8607"</f>
        <v>119,8607</v>
      </c>
      <c r="N90" s="15" t="s">
        <v>59</v>
      </c>
    </row>
    <row r="91" spans="1:14" x14ac:dyDescent="0.2">
      <c r="A91" s="17" t="s">
        <v>16</v>
      </c>
      <c r="B91" s="15" t="s">
        <v>1435</v>
      </c>
      <c r="C91" s="15" t="s">
        <v>1436</v>
      </c>
      <c r="D91" s="15" t="s">
        <v>1437</v>
      </c>
      <c r="E91" s="15" t="str">
        <f>"0,5780"</f>
        <v>0,5780</v>
      </c>
      <c r="F91" s="15" t="s">
        <v>20</v>
      </c>
      <c r="G91" s="15" t="s">
        <v>69</v>
      </c>
      <c r="H91" s="18" t="s">
        <v>166</v>
      </c>
      <c r="I91" s="16" t="s">
        <v>166</v>
      </c>
      <c r="J91" s="16" t="s">
        <v>143</v>
      </c>
      <c r="K91" s="17"/>
      <c r="L91" s="17" t="str">
        <f>"200,0"</f>
        <v>200,0</v>
      </c>
      <c r="M91" s="17" t="str">
        <f>"159,5280"</f>
        <v>159,5280</v>
      </c>
      <c r="N91" s="15" t="s">
        <v>59</v>
      </c>
    </row>
    <row r="92" spans="1:14" x14ac:dyDescent="0.2">
      <c r="A92" s="21" t="s">
        <v>60</v>
      </c>
      <c r="B92" s="19" t="s">
        <v>1438</v>
      </c>
      <c r="C92" s="19" t="s">
        <v>1439</v>
      </c>
      <c r="D92" s="19" t="s">
        <v>1440</v>
      </c>
      <c r="E92" s="19" t="str">
        <f>"0,5843"</f>
        <v>0,5843</v>
      </c>
      <c r="F92" s="19" t="s">
        <v>20</v>
      </c>
      <c r="G92" s="19" t="s">
        <v>615</v>
      </c>
      <c r="H92" s="20" t="s">
        <v>118</v>
      </c>
      <c r="I92" s="22" t="s">
        <v>125</v>
      </c>
      <c r="J92" s="22" t="s">
        <v>312</v>
      </c>
      <c r="K92" s="21"/>
      <c r="L92" s="21" t="str">
        <f>"140,0"</f>
        <v>140,0</v>
      </c>
      <c r="M92" s="21" t="str">
        <f>"125,4025"</f>
        <v>125,4025</v>
      </c>
      <c r="N92" s="19" t="s">
        <v>59</v>
      </c>
    </row>
    <row r="93" spans="1:14" x14ac:dyDescent="0.2">
      <c r="B93" s="5" t="s">
        <v>38</v>
      </c>
    </row>
    <row r="94" spans="1:14" ht="15" x14ac:dyDescent="0.2">
      <c r="A94" s="81" t="s">
        <v>503</v>
      </c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4" x14ac:dyDescent="0.2">
      <c r="A95" s="10" t="s">
        <v>16</v>
      </c>
      <c r="B95" s="7" t="s">
        <v>1441</v>
      </c>
      <c r="C95" s="7" t="s">
        <v>1442</v>
      </c>
      <c r="D95" s="7" t="s">
        <v>1443</v>
      </c>
      <c r="E95" s="7" t="str">
        <f>"0,5624"</f>
        <v>0,5624</v>
      </c>
      <c r="F95" s="7" t="s">
        <v>1286</v>
      </c>
      <c r="G95" s="7" t="s">
        <v>708</v>
      </c>
      <c r="H95" s="8" t="s">
        <v>155</v>
      </c>
      <c r="I95" s="8" t="s">
        <v>301</v>
      </c>
      <c r="J95" s="9" t="s">
        <v>259</v>
      </c>
      <c r="K95" s="10"/>
      <c r="L95" s="10" t="str">
        <f>"275,0"</f>
        <v>275,0</v>
      </c>
      <c r="M95" s="10" t="str">
        <f>"154,6600"</f>
        <v>154,6600</v>
      </c>
      <c r="N95" s="7" t="s">
        <v>59</v>
      </c>
    </row>
    <row r="96" spans="1:14" x14ac:dyDescent="0.2">
      <c r="B96" s="5" t="s">
        <v>38</v>
      </c>
    </row>
    <row r="97" spans="2:7" ht="15" x14ac:dyDescent="0.2">
      <c r="B97" s="5" t="s">
        <v>38</v>
      </c>
      <c r="F97" s="23"/>
    </row>
    <row r="98" spans="2:7" x14ac:dyDescent="0.2">
      <c r="B98" s="5" t="s">
        <v>38</v>
      </c>
    </row>
    <row r="99" spans="2:7" ht="18" x14ac:dyDescent="0.2">
      <c r="B99" s="24" t="s">
        <v>340</v>
      </c>
      <c r="C99" s="24"/>
      <c r="G99" s="3"/>
    </row>
    <row r="100" spans="2:7" ht="15" x14ac:dyDescent="0.2">
      <c r="B100" s="73" t="s">
        <v>341</v>
      </c>
      <c r="C100" s="73"/>
      <c r="G100" s="3"/>
    </row>
    <row r="101" spans="2:7" ht="14.25" x14ac:dyDescent="0.2">
      <c r="B101" s="25"/>
      <c r="C101" s="25" t="s">
        <v>358</v>
      </c>
      <c r="G101" s="3"/>
    </row>
    <row r="102" spans="2:7" ht="15" x14ac:dyDescent="0.2">
      <c r="B102" s="4" t="s">
        <v>343</v>
      </c>
      <c r="C102" s="4" t="s">
        <v>344</v>
      </c>
      <c r="D102" s="4" t="s">
        <v>345</v>
      </c>
      <c r="E102" s="4" t="s">
        <v>861</v>
      </c>
      <c r="F102" s="4" t="s">
        <v>347</v>
      </c>
      <c r="G102" s="3"/>
    </row>
    <row r="103" spans="2:7" x14ac:dyDescent="0.2">
      <c r="B103" s="5" t="s">
        <v>1300</v>
      </c>
      <c r="C103" s="5" t="s">
        <v>358</v>
      </c>
      <c r="D103" s="6" t="s">
        <v>352</v>
      </c>
      <c r="E103" s="6" t="s">
        <v>1304</v>
      </c>
      <c r="F103" s="6" t="s">
        <v>1444</v>
      </c>
      <c r="G103" s="3"/>
    </row>
    <row r="104" spans="2:7" x14ac:dyDescent="0.2">
      <c r="B104" s="5" t="s">
        <v>1306</v>
      </c>
      <c r="C104" s="5" t="s">
        <v>358</v>
      </c>
      <c r="D104" s="6" t="s">
        <v>352</v>
      </c>
      <c r="E104" s="6" t="s">
        <v>175</v>
      </c>
      <c r="F104" s="6" t="s">
        <v>1445</v>
      </c>
      <c r="G104" s="3"/>
    </row>
    <row r="105" spans="2:7" x14ac:dyDescent="0.2">
      <c r="B105" s="5" t="s">
        <v>1269</v>
      </c>
      <c r="C105" s="5" t="s">
        <v>358</v>
      </c>
      <c r="D105" s="6" t="s">
        <v>355</v>
      </c>
      <c r="E105" s="6" t="s">
        <v>101</v>
      </c>
      <c r="F105" s="6" t="s">
        <v>1446</v>
      </c>
      <c r="G105" s="3"/>
    </row>
    <row r="106" spans="2:7" x14ac:dyDescent="0.2">
      <c r="G106" s="3"/>
    </row>
    <row r="107" spans="2:7" ht="14.25" x14ac:dyDescent="0.2">
      <c r="B107" s="25"/>
      <c r="C107" s="25" t="s">
        <v>1229</v>
      </c>
      <c r="G107" s="3"/>
    </row>
    <row r="108" spans="2:7" ht="15" x14ac:dyDescent="0.2">
      <c r="B108" s="4" t="s">
        <v>343</v>
      </c>
      <c r="C108" s="4" t="s">
        <v>344</v>
      </c>
      <c r="D108" s="4" t="s">
        <v>345</v>
      </c>
      <c r="E108" s="4" t="s">
        <v>861</v>
      </c>
      <c r="F108" s="4" t="s">
        <v>347</v>
      </c>
      <c r="G108" s="3"/>
    </row>
    <row r="109" spans="2:7" x14ac:dyDescent="0.2">
      <c r="B109" s="5" t="s">
        <v>1267</v>
      </c>
      <c r="C109" s="5" t="s">
        <v>1447</v>
      </c>
      <c r="D109" s="6" t="s">
        <v>355</v>
      </c>
      <c r="E109" s="6" t="s">
        <v>145</v>
      </c>
      <c r="F109" s="6" t="s">
        <v>1448</v>
      </c>
      <c r="G109" s="3"/>
    </row>
    <row r="110" spans="2:7" x14ac:dyDescent="0.2">
      <c r="B110" s="5" t="s">
        <v>1435</v>
      </c>
      <c r="C110" s="5" t="s">
        <v>1231</v>
      </c>
      <c r="D110" s="6" t="s">
        <v>749</v>
      </c>
      <c r="E110" s="6" t="s">
        <v>143</v>
      </c>
      <c r="F110" s="6" t="s">
        <v>1449</v>
      </c>
      <c r="G110" s="3"/>
    </row>
    <row r="111" spans="2:7" x14ac:dyDescent="0.2">
      <c r="B111" s="5" t="s">
        <v>1269</v>
      </c>
      <c r="C111" s="5" t="s">
        <v>1447</v>
      </c>
      <c r="D111" s="6" t="s">
        <v>355</v>
      </c>
      <c r="E111" s="6" t="s">
        <v>101</v>
      </c>
      <c r="F111" s="6" t="s">
        <v>1446</v>
      </c>
      <c r="G111" s="3"/>
    </row>
    <row r="112" spans="2:7" x14ac:dyDescent="0.2">
      <c r="B112" s="5" t="s">
        <v>38</v>
      </c>
    </row>
  </sheetData>
  <mergeCells count="23">
    <mergeCell ref="A83:M83"/>
    <mergeCell ref="A94:M94"/>
    <mergeCell ref="B3:B4"/>
    <mergeCell ref="A16:M16"/>
    <mergeCell ref="A21:M21"/>
    <mergeCell ref="A25:M25"/>
    <mergeCell ref="A38:M38"/>
    <mergeCell ref="A51:M51"/>
    <mergeCell ref="A65:M65"/>
    <mergeCell ref="L3:L4"/>
    <mergeCell ref="M3:M4"/>
    <mergeCell ref="N3:N4"/>
    <mergeCell ref="A5:M5"/>
    <mergeCell ref="A8:M8"/>
    <mergeCell ref="A12:M12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11"/>
  <sheetViews>
    <sheetView workbookViewId="0">
      <selection sqref="A1:N2"/>
    </sheetView>
  </sheetViews>
  <sheetFormatPr defaultColWidth="9.140625" defaultRowHeight="12.75" x14ac:dyDescent="0.2"/>
  <cols>
    <col min="1" max="1" width="7.42578125" style="6" bestFit="1" customWidth="1"/>
    <col min="2" max="2" width="24.140625" style="5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22.7109375" style="5" bestFit="1" customWidth="1"/>
    <col min="7" max="7" width="22.28515625" style="5" customWidth="1"/>
    <col min="8" max="10" width="5.42578125" style="6" bestFit="1" customWidth="1"/>
    <col min="11" max="11" width="4.85546875" style="6" bestFit="1" customWidth="1"/>
    <col min="12" max="12" width="11.28515625" style="6" bestFit="1" customWidth="1"/>
    <col min="13" max="13" width="8.42578125" style="6" bestFit="1" customWidth="1"/>
    <col min="14" max="14" width="26.85546875" style="5" customWidth="1"/>
    <col min="15" max="16384" width="9.140625" style="3"/>
  </cols>
  <sheetData>
    <row r="1" spans="1:14" s="2" customFormat="1" ht="29.1" customHeight="1" x14ac:dyDescent="0.2">
      <c r="A1" s="83" t="s">
        <v>1450</v>
      </c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s="2" customFormat="1" ht="62.1" customHeight="1" thickBot="1" x14ac:dyDescent="0.2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s="1" customFormat="1" ht="12.75" customHeight="1" x14ac:dyDescent="0.2">
      <c r="A3" s="90" t="s">
        <v>1</v>
      </c>
      <c r="B3" s="95" t="s">
        <v>2</v>
      </c>
      <c r="C3" s="92" t="s">
        <v>3</v>
      </c>
      <c r="D3" s="92" t="s">
        <v>4</v>
      </c>
      <c r="E3" s="94" t="s">
        <v>5</v>
      </c>
      <c r="F3" s="94" t="s">
        <v>6</v>
      </c>
      <c r="G3" s="94" t="s">
        <v>7</v>
      </c>
      <c r="H3" s="94" t="s">
        <v>9</v>
      </c>
      <c r="I3" s="94"/>
      <c r="J3" s="94"/>
      <c r="K3" s="94"/>
      <c r="L3" s="94" t="s">
        <v>861</v>
      </c>
      <c r="M3" s="94" t="s">
        <v>12</v>
      </c>
      <c r="N3" s="77" t="s">
        <v>13</v>
      </c>
    </row>
    <row r="4" spans="1:14" s="1" customFormat="1" ht="21" customHeight="1" thickBot="1" x14ac:dyDescent="0.25">
      <c r="A4" s="91"/>
      <c r="B4" s="96"/>
      <c r="C4" s="93"/>
      <c r="D4" s="93"/>
      <c r="E4" s="93"/>
      <c r="F4" s="93"/>
      <c r="G4" s="93"/>
      <c r="H4" s="74">
        <v>1</v>
      </c>
      <c r="I4" s="74">
        <v>2</v>
      </c>
      <c r="J4" s="74">
        <v>3</v>
      </c>
      <c r="K4" s="74" t="s">
        <v>14</v>
      </c>
      <c r="L4" s="93"/>
      <c r="M4" s="93"/>
      <c r="N4" s="78"/>
    </row>
    <row r="5" spans="1:14" ht="15" x14ac:dyDescent="0.2">
      <c r="A5" s="79" t="s">
        <v>73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4" x14ac:dyDescent="0.2">
      <c r="A6" s="10" t="s">
        <v>16</v>
      </c>
      <c r="B6" s="7" t="s">
        <v>951</v>
      </c>
      <c r="C6" s="7" t="s">
        <v>952</v>
      </c>
      <c r="D6" s="7" t="s">
        <v>953</v>
      </c>
      <c r="E6" s="7" t="str">
        <f>"0,7738"</f>
        <v>0,7738</v>
      </c>
      <c r="F6" s="7" t="s">
        <v>20</v>
      </c>
      <c r="G6" s="7" t="s">
        <v>1015</v>
      </c>
      <c r="H6" s="9" t="s">
        <v>116</v>
      </c>
      <c r="I6" s="9" t="s">
        <v>116</v>
      </c>
      <c r="J6" s="8" t="s">
        <v>116</v>
      </c>
      <c r="K6" s="10"/>
      <c r="L6" s="10" t="str">
        <f>"120,0"</f>
        <v>120,0</v>
      </c>
      <c r="M6" s="10" t="str">
        <f>"92,8560"</f>
        <v>92,8560</v>
      </c>
      <c r="N6" s="7" t="s">
        <v>59</v>
      </c>
    </row>
    <row r="7" spans="1:14" x14ac:dyDescent="0.2">
      <c r="B7" s="5" t="s">
        <v>38</v>
      </c>
    </row>
    <row r="8" spans="1:14" ht="15" x14ac:dyDescent="0.2">
      <c r="A8" s="81" t="s">
        <v>192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x14ac:dyDescent="0.2">
      <c r="A9" s="10" t="s">
        <v>16</v>
      </c>
      <c r="B9" s="7" t="s">
        <v>1451</v>
      </c>
      <c r="C9" s="7" t="s">
        <v>1452</v>
      </c>
      <c r="D9" s="7" t="s">
        <v>1453</v>
      </c>
      <c r="E9" s="7" t="str">
        <f>"0,6888"</f>
        <v>0,6888</v>
      </c>
      <c r="F9" s="7" t="s">
        <v>20</v>
      </c>
      <c r="G9" s="7" t="s">
        <v>1454</v>
      </c>
      <c r="H9" s="9" t="s">
        <v>166</v>
      </c>
      <c r="I9" s="8" t="s">
        <v>166</v>
      </c>
      <c r="J9" s="8" t="s">
        <v>124</v>
      </c>
      <c r="K9" s="10"/>
      <c r="L9" s="10" t="str">
        <f>"190,0"</f>
        <v>190,0</v>
      </c>
      <c r="M9" s="10" t="str">
        <f>"130,8720"</f>
        <v>130,8720</v>
      </c>
      <c r="N9" s="7" t="s">
        <v>59</v>
      </c>
    </row>
    <row r="10" spans="1:14" x14ac:dyDescent="0.2">
      <c r="B10" s="5" t="s">
        <v>38</v>
      </c>
    </row>
    <row r="11" spans="1:14" x14ac:dyDescent="0.2">
      <c r="B11" s="5" t="s">
        <v>38</v>
      </c>
    </row>
  </sheetData>
  <mergeCells count="14"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32</vt:i4>
      </vt:variant>
    </vt:vector>
  </HeadingPairs>
  <TitlesOfParts>
    <vt:vector size="32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 ДК</vt:lpstr>
      <vt:lpstr>WEPF Жим однослой</vt:lpstr>
      <vt:lpstr>WEPF Жим многослой</vt:lpstr>
      <vt:lpstr>WEPF Жим софт "Стандарт" ДК</vt:lpstr>
      <vt:lpstr>WEPF Жим софт "Стандарт"</vt:lpstr>
      <vt:lpstr>WEPF Жим софт "Ультра"</vt:lpstr>
      <vt:lpstr>WRPF Жим СФО</vt:lpstr>
      <vt:lpstr>WRPF Народный 1 вес ДК</vt:lpstr>
      <vt:lpstr>WRPF Народный 1 вес</vt:lpstr>
      <vt:lpstr>WRPF Народный 1_2 веса ДК</vt:lpstr>
      <vt:lpstr>WRPF Народный 1_2 веса</vt:lpstr>
      <vt:lpstr>WRPF Тяга без экипировки ДК</vt:lpstr>
      <vt:lpstr>WRPF Тяга без экипировки</vt:lpstr>
      <vt:lpstr>WEPF Тяга экип</vt:lpstr>
      <vt:lpstr>WRPF Подъем на бицепс</vt:lpstr>
      <vt:lpstr>Rolling Thunder</vt:lpstr>
      <vt:lpstr>Apollon`s Axle</vt:lpstr>
      <vt:lpstr>Excalibur</vt:lpstr>
      <vt:lpstr>Grip block</vt:lpstr>
      <vt:lpstr>Hub</vt:lpstr>
      <vt:lpstr>Silver bullet</vt:lpstr>
      <vt:lpstr>Saxon bar deadlift</vt:lpstr>
      <vt:lpstr>Командное первенство</vt:lpstr>
      <vt:lpstr>Судеская коллегия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Rohrmann Katalin</cp:lastModifiedBy>
  <cp:revision/>
  <dcterms:created xsi:type="dcterms:W3CDTF">2002-06-16T13:36:44Z</dcterms:created>
  <dcterms:modified xsi:type="dcterms:W3CDTF">2019-06-19T19:21:08Z</dcterms:modified>
  <cp:category/>
  <cp:contentStatus/>
</cp:coreProperties>
</file>