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19/Декабрь/"/>
    </mc:Choice>
  </mc:AlternateContent>
  <xr:revisionPtr revIDLastSave="0" documentId="8_{C976E4B0-9046-4695-B68D-4ACFA4A13E97}" xr6:coauthVersionLast="45" xr6:coauthVersionMax="45" xr10:uidLastSave="{00000000-0000-0000-0000-000000000000}"/>
  <bookViews>
    <workbookView xWindow="0" yWindow="0" windowWidth="28800" windowHeight="18000" tabRatio="918" firstSheet="3" activeTab="3" xr2:uid="{00000000-000D-0000-FFFF-FFFF00000000}"/>
  </bookViews>
  <sheets>
    <sheet name="WRPF ПЛ без экипировки ДК" sheetId="17" r:id="rId1"/>
    <sheet name="WRPF ПЛ без экипировки" sheetId="16" r:id="rId2"/>
    <sheet name="WRPF ПЛ в бинтах ДК" sheetId="13" r:id="rId3"/>
    <sheet name="WRPF ПЛ в бинтах" sheetId="12" r:id="rId4"/>
    <sheet name="WEPF ПЛ однослой ДК" sheetId="15" r:id="rId5"/>
    <sheet name="WEPF ПЛ однослой" sheetId="14" r:id="rId6"/>
    <sheet name="WEPF ПЛ многослой ДК" sheetId="19" r:id="rId7"/>
    <sheet name="WEPF ПЛ многослой" sheetId="18" r:id="rId8"/>
    <sheet name="WRPF Двоеборье без экип ДК" sheetId="35" r:id="rId9"/>
    <sheet name="WRPF Двоеборье без экип" sheetId="34" r:id="rId10"/>
    <sheet name="WEPF Двоеборье экип ДК" sheetId="37" r:id="rId11"/>
    <sheet name="WRPF Жим лежа без экип ДК" sheetId="22" r:id="rId12"/>
    <sheet name="WRPF Жим лежа без экип" sheetId="21" r:id="rId13"/>
    <sheet name="WEPF Жим однослой ДК" sheetId="25" r:id="rId14"/>
    <sheet name="WEPF Жим однослой" sheetId="24" r:id="rId15"/>
    <sheet name="WEPF Жим многослой ДК" sheetId="29" r:id="rId16"/>
    <sheet name="WEPF Жим многослой" sheetId="28" r:id="rId17"/>
    <sheet name="WEPF Жим софт однопетельная ДК" sheetId="23" r:id="rId18"/>
    <sheet name="WEPF Жим софт однопетельная" sheetId="20" r:id="rId19"/>
    <sheet name="WEPF Жим софт многопетельнаяДК" sheetId="27" r:id="rId20"/>
    <sheet name="WEPF Жим софт многопетельная" sheetId="26" r:id="rId21"/>
    <sheet name="WRPF Народный 1 вес ДК" sheetId="41" r:id="rId22"/>
    <sheet name="WRPF Народный 1 вес" sheetId="39" r:id="rId23"/>
    <sheet name="WRPF Народный 1_2 веса ДК" sheetId="42" r:id="rId24"/>
    <sheet name="WRPF Народный 1_2 веса" sheetId="40" r:id="rId25"/>
    <sheet name="WRPF Жим СФО" sheetId="43" r:id="rId26"/>
    <sheet name="WRPF Тяга без экипировки ДК" sheetId="31" r:id="rId27"/>
    <sheet name="WRPF Тяга без экипировки" sheetId="30" r:id="rId28"/>
    <sheet name="WEPF Тяга экип ДК" sheetId="33" r:id="rId29"/>
    <sheet name="WEPF Тяга экип" sheetId="32" r:id="rId30"/>
    <sheet name="WRPF Подъем на бицепс" sheetId="38" r:id="rId31"/>
    <sheet name="WAF Rolling Thunder" sheetId="5" r:id="rId32"/>
    <sheet name="WAF Apollon`s Axle" sheetId="6" r:id="rId33"/>
    <sheet name="WAF Hub" sheetId="7" r:id="rId34"/>
    <sheet name="WAF Grip block" sheetId="8" r:id="rId35"/>
    <sheet name="WAF Excalibur" sheetId="10" r:id="rId36"/>
    <sheet name="WAF Silver bullet" sheetId="9" r:id="rId37"/>
    <sheet name="WAF Saxon bar deadlift" sheetId="11" r:id="rId38"/>
    <sheet name="WSF Двоеборье" sheetId="55" r:id="rId39"/>
    <sheet name="WSF Подтягивания" sheetId="44" r:id="rId40"/>
    <sheet name="WSF Отжимания" sheetId="54" r:id="rId41"/>
    <sheet name="WSF Подтягивания мн.повт. 15кг" sheetId="47" r:id="rId42"/>
    <sheet name="WSF Подтягивания мн.повт. 10кг" sheetId="45" r:id="rId43"/>
    <sheet name="WSF Отжимания мн.повт. 50кг" sheetId="53" r:id="rId44"/>
    <sheet name="WSF Отжимания мн.повт. 35кг" sheetId="52" r:id="rId45"/>
    <sheet name="WSF Отжимания мн.повт. 25кг" sheetId="50" r:id="rId46"/>
    <sheet name="WSF Отжимания мн.повт. 15кг" sheetId="48" r:id="rId47"/>
    <sheet name="WRPF PRO ПЛ без экипировки" sheetId="56" r:id="rId48"/>
    <sheet name="WRPF PRO Жим лежа без экип" sheetId="57" r:id="rId49"/>
    <sheet name="WRPF PRO Тяга без экипировки" sheetId="58" r:id="rId50"/>
    <sheet name="Командное первенство" sheetId="60" r:id="rId51"/>
    <sheet name="Судейская коллегия" sheetId="61" r:id="rId52"/>
  </sheets>
  <definedNames>
    <definedName name="_xlnm._FilterDatabase" localSheetId="31" hidden="1">'WAF Rolling Thunder'!$A$1:$J$3</definedName>
  </definedNames>
  <calcPr calcId="191028" refMode="R1C1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5" i="26" l="1"/>
  <c r="K55" i="26"/>
  <c r="L55" i="26"/>
  <c r="K81" i="21" l="1"/>
  <c r="K103" i="30"/>
  <c r="K17" i="57"/>
  <c r="J46" i="10"/>
  <c r="L51" i="58"/>
  <c r="E51" i="58"/>
  <c r="L50" i="58"/>
  <c r="K50" i="58"/>
  <c r="E50" i="58"/>
  <c r="L47" i="58"/>
  <c r="K47" i="58"/>
  <c r="E47" i="58"/>
  <c r="L46" i="58"/>
  <c r="K46" i="58"/>
  <c r="E46" i="58"/>
  <c r="L45" i="58"/>
  <c r="K45" i="58"/>
  <c r="E45" i="58"/>
  <c r="L42" i="58"/>
  <c r="K42" i="58"/>
  <c r="E42" i="58"/>
  <c r="L39" i="58"/>
  <c r="K39" i="58"/>
  <c r="E39" i="58"/>
  <c r="L38" i="58"/>
  <c r="K38" i="58"/>
  <c r="E38" i="58"/>
  <c r="L37" i="58"/>
  <c r="K37" i="58"/>
  <c r="E37" i="58"/>
  <c r="L36" i="58"/>
  <c r="K36" i="58"/>
  <c r="E36" i="58"/>
  <c r="L35" i="58"/>
  <c r="K35" i="58"/>
  <c r="E35" i="58"/>
  <c r="L34" i="58"/>
  <c r="K34" i="58"/>
  <c r="E34" i="58"/>
  <c r="L31" i="58"/>
  <c r="K31" i="58"/>
  <c r="E31" i="58"/>
  <c r="L30" i="58"/>
  <c r="K30" i="58"/>
  <c r="E30" i="58"/>
  <c r="L29" i="58"/>
  <c r="K29" i="58"/>
  <c r="E29" i="58"/>
  <c r="L26" i="58"/>
  <c r="K26" i="58"/>
  <c r="E26" i="58"/>
  <c r="L25" i="58"/>
  <c r="K25" i="58"/>
  <c r="E25" i="58"/>
  <c r="L24" i="58"/>
  <c r="K24" i="58"/>
  <c r="E24" i="58"/>
  <c r="L23" i="58"/>
  <c r="K23" i="58"/>
  <c r="E23" i="58"/>
  <c r="L20" i="58"/>
  <c r="E20" i="58"/>
  <c r="L19" i="58"/>
  <c r="K19" i="58"/>
  <c r="E19" i="58"/>
  <c r="L18" i="58"/>
  <c r="K18" i="58"/>
  <c r="E18" i="58"/>
  <c r="L17" i="58"/>
  <c r="K17" i="58"/>
  <c r="E17" i="58"/>
  <c r="L14" i="58"/>
  <c r="K14" i="58"/>
  <c r="E14" i="58"/>
  <c r="L13" i="58"/>
  <c r="K13" i="58"/>
  <c r="E13" i="58"/>
  <c r="L12" i="58"/>
  <c r="K12" i="58"/>
  <c r="E12" i="58"/>
  <c r="L9" i="58"/>
  <c r="K9" i="58"/>
  <c r="E9" i="58"/>
  <c r="L6" i="58"/>
  <c r="K6" i="58"/>
  <c r="E6" i="58"/>
  <c r="L40" i="57"/>
  <c r="E40" i="57"/>
  <c r="L39" i="57"/>
  <c r="K39" i="57"/>
  <c r="E39" i="57"/>
  <c r="L36" i="57"/>
  <c r="K36" i="57"/>
  <c r="E36" i="57"/>
  <c r="L35" i="57"/>
  <c r="K35" i="57"/>
  <c r="E35" i="57"/>
  <c r="L32" i="57"/>
  <c r="E32" i="57"/>
  <c r="L31" i="57"/>
  <c r="K31" i="57"/>
  <c r="E31" i="57"/>
  <c r="L30" i="57"/>
  <c r="K30" i="57"/>
  <c r="E30" i="57"/>
  <c r="L29" i="57"/>
  <c r="K29" i="57"/>
  <c r="E29" i="57"/>
  <c r="L28" i="57"/>
  <c r="K28" i="57"/>
  <c r="E28" i="57"/>
  <c r="L27" i="57"/>
  <c r="K27" i="57"/>
  <c r="E27" i="57"/>
  <c r="L26" i="57"/>
  <c r="K26" i="57"/>
  <c r="E26" i="57"/>
  <c r="L25" i="57"/>
  <c r="K25" i="57"/>
  <c r="E25" i="57"/>
  <c r="L22" i="57"/>
  <c r="K22" i="57"/>
  <c r="E22" i="57"/>
  <c r="L21" i="57"/>
  <c r="K21" i="57"/>
  <c r="E21" i="57"/>
  <c r="L18" i="57"/>
  <c r="K18" i="57"/>
  <c r="E18" i="57"/>
  <c r="L17" i="57"/>
  <c r="E17" i="57"/>
  <c r="L16" i="57"/>
  <c r="K16" i="57"/>
  <c r="E16" i="57"/>
  <c r="L13" i="57"/>
  <c r="K13" i="57"/>
  <c r="E13" i="57"/>
  <c r="L10" i="57"/>
  <c r="K10" i="57"/>
  <c r="E10" i="57"/>
  <c r="L7" i="57"/>
  <c r="K7" i="57"/>
  <c r="E7" i="57"/>
  <c r="L6" i="57"/>
  <c r="K6" i="57"/>
  <c r="E6" i="57"/>
  <c r="T46" i="56"/>
  <c r="E46" i="56"/>
  <c r="T45" i="56"/>
  <c r="S45" i="56"/>
  <c r="E45" i="56"/>
  <c r="T44" i="56"/>
  <c r="S44" i="56"/>
  <c r="E44" i="56"/>
  <c r="T41" i="56"/>
  <c r="S41" i="56"/>
  <c r="E41" i="56"/>
  <c r="T40" i="56"/>
  <c r="S40" i="56"/>
  <c r="E40" i="56"/>
  <c r="T37" i="56"/>
  <c r="S37" i="56"/>
  <c r="E37" i="56"/>
  <c r="T36" i="56"/>
  <c r="S36" i="56"/>
  <c r="E36" i="56"/>
  <c r="T35" i="56"/>
  <c r="S35" i="56"/>
  <c r="E35" i="56"/>
  <c r="T32" i="56"/>
  <c r="E32" i="56"/>
  <c r="T31" i="56"/>
  <c r="S31" i="56"/>
  <c r="E31" i="56"/>
  <c r="T30" i="56"/>
  <c r="S30" i="56"/>
  <c r="E30" i="56"/>
  <c r="T29" i="56"/>
  <c r="S29" i="56"/>
  <c r="E29" i="56"/>
  <c r="T26" i="56"/>
  <c r="S26" i="56"/>
  <c r="E26" i="56"/>
  <c r="T25" i="56"/>
  <c r="S25" i="56"/>
  <c r="E25" i="56"/>
  <c r="T24" i="56"/>
  <c r="S24" i="56"/>
  <c r="E24" i="56"/>
  <c r="T23" i="56"/>
  <c r="S23" i="56"/>
  <c r="E23" i="56"/>
  <c r="T22" i="56"/>
  <c r="S22" i="56"/>
  <c r="E22" i="56"/>
  <c r="T21" i="56"/>
  <c r="S21" i="56"/>
  <c r="E21" i="56"/>
  <c r="T20" i="56"/>
  <c r="S20" i="56"/>
  <c r="E20" i="56"/>
  <c r="T19" i="56"/>
  <c r="S19" i="56"/>
  <c r="E19" i="56"/>
  <c r="T18" i="56"/>
  <c r="S18" i="56"/>
  <c r="E18" i="56"/>
  <c r="T15" i="56"/>
  <c r="S15" i="56"/>
  <c r="E15" i="56"/>
  <c r="T14" i="56"/>
  <c r="S14" i="56"/>
  <c r="E14" i="56"/>
  <c r="T11" i="56"/>
  <c r="S11" i="56"/>
  <c r="E11" i="56"/>
  <c r="T10" i="56"/>
  <c r="S10" i="56"/>
  <c r="E10" i="56"/>
  <c r="T9" i="56"/>
  <c r="S9" i="56"/>
  <c r="E9" i="56"/>
  <c r="T6" i="56"/>
  <c r="S6" i="56"/>
  <c r="E6" i="56"/>
  <c r="P21" i="55"/>
  <c r="O21" i="55"/>
  <c r="E21" i="55"/>
  <c r="P20" i="55"/>
  <c r="O20" i="55"/>
  <c r="E20" i="55"/>
  <c r="P17" i="55"/>
  <c r="E17" i="55"/>
  <c r="P16" i="55"/>
  <c r="O16" i="55"/>
  <c r="E16" i="55"/>
  <c r="P13" i="55"/>
  <c r="O13" i="55"/>
  <c r="E13" i="55"/>
  <c r="P10" i="55"/>
  <c r="O10" i="55"/>
  <c r="E10" i="55"/>
  <c r="P9" i="55"/>
  <c r="O9" i="55"/>
  <c r="E9" i="55"/>
  <c r="P6" i="55"/>
  <c r="O6" i="55"/>
  <c r="E6" i="55"/>
  <c r="L21" i="54"/>
  <c r="K21" i="54"/>
  <c r="E21" i="54"/>
  <c r="L18" i="54"/>
  <c r="K18" i="54"/>
  <c r="E18" i="54"/>
  <c r="L17" i="54"/>
  <c r="K17" i="54"/>
  <c r="E17" i="54"/>
  <c r="L14" i="54"/>
  <c r="K14" i="54"/>
  <c r="E14" i="54"/>
  <c r="L11" i="54"/>
  <c r="K11" i="54"/>
  <c r="E11" i="54"/>
  <c r="L10" i="54"/>
  <c r="K10" i="54"/>
  <c r="E10" i="54"/>
  <c r="L9" i="54"/>
  <c r="K9" i="54"/>
  <c r="E9" i="54"/>
  <c r="L6" i="54"/>
  <c r="K6" i="54"/>
  <c r="E6" i="54"/>
  <c r="L9" i="44"/>
  <c r="K9" i="44"/>
  <c r="E9" i="44"/>
  <c r="L6" i="44"/>
  <c r="K6" i="44"/>
  <c r="E6" i="44"/>
  <c r="L59" i="43"/>
  <c r="K59" i="43"/>
  <c r="E59" i="43"/>
  <c r="L58" i="43"/>
  <c r="K58" i="43"/>
  <c r="E58" i="43"/>
  <c r="L55" i="43"/>
  <c r="K55" i="43"/>
  <c r="E55" i="43"/>
  <c r="L54" i="43"/>
  <c r="K54" i="43"/>
  <c r="E54" i="43"/>
  <c r="L53" i="43"/>
  <c r="K53" i="43"/>
  <c r="E53" i="43"/>
  <c r="L52" i="43"/>
  <c r="K52" i="43"/>
  <c r="E52" i="43"/>
  <c r="L49" i="43"/>
  <c r="K49" i="43"/>
  <c r="E49" i="43"/>
  <c r="L48" i="43"/>
  <c r="K48" i="43"/>
  <c r="E48" i="43"/>
  <c r="L47" i="43"/>
  <c r="K47" i="43"/>
  <c r="E47" i="43"/>
  <c r="L44" i="43"/>
  <c r="K44" i="43"/>
  <c r="E44" i="43"/>
  <c r="L43" i="43"/>
  <c r="K43" i="43"/>
  <c r="E43" i="43"/>
  <c r="L42" i="43"/>
  <c r="K42" i="43"/>
  <c r="E42" i="43"/>
  <c r="L41" i="43"/>
  <c r="K41" i="43"/>
  <c r="E41" i="43"/>
  <c r="L40" i="43"/>
  <c r="K40" i="43"/>
  <c r="E40" i="43"/>
  <c r="L39" i="43"/>
  <c r="K39" i="43"/>
  <c r="E39" i="43"/>
  <c r="L36" i="43"/>
  <c r="K36" i="43"/>
  <c r="E36" i="43"/>
  <c r="L35" i="43"/>
  <c r="K35" i="43"/>
  <c r="E35" i="43"/>
  <c r="L32" i="43"/>
  <c r="K32" i="43"/>
  <c r="E32" i="43"/>
  <c r="L31" i="43"/>
  <c r="K31" i="43"/>
  <c r="E31" i="43"/>
  <c r="L28" i="43"/>
  <c r="K28" i="43"/>
  <c r="E28" i="43"/>
  <c r="L25" i="43"/>
  <c r="K25" i="43"/>
  <c r="E25" i="43"/>
  <c r="L22" i="43"/>
  <c r="K22" i="43"/>
  <c r="E22" i="43"/>
  <c r="L19" i="43"/>
  <c r="K19" i="43"/>
  <c r="E19" i="43"/>
  <c r="L16" i="43"/>
  <c r="K16" i="43"/>
  <c r="E16" i="43"/>
  <c r="L13" i="43"/>
  <c r="K13" i="43"/>
  <c r="E13" i="43"/>
  <c r="L12" i="43"/>
  <c r="K12" i="43"/>
  <c r="E12" i="43"/>
  <c r="L9" i="43"/>
  <c r="K9" i="43"/>
  <c r="E9" i="43"/>
  <c r="L6" i="43"/>
  <c r="K6" i="43"/>
  <c r="E6" i="43"/>
  <c r="J31" i="42"/>
  <c r="I31" i="42"/>
  <c r="E31" i="42"/>
  <c r="J28" i="42"/>
  <c r="I28" i="42"/>
  <c r="E28" i="42"/>
  <c r="J27" i="42"/>
  <c r="I27" i="42"/>
  <c r="E27" i="42"/>
  <c r="J26" i="42"/>
  <c r="I26" i="42"/>
  <c r="E26" i="42"/>
  <c r="J25" i="42"/>
  <c r="I25" i="42"/>
  <c r="E25" i="42"/>
  <c r="J22" i="42"/>
  <c r="I22" i="42"/>
  <c r="E22" i="42"/>
  <c r="J19" i="42"/>
  <c r="I19" i="42"/>
  <c r="E19" i="42"/>
  <c r="J16" i="42"/>
  <c r="I16" i="42"/>
  <c r="E16" i="42"/>
  <c r="J15" i="42"/>
  <c r="I15" i="42"/>
  <c r="E15" i="42"/>
  <c r="J14" i="42"/>
  <c r="I14" i="42"/>
  <c r="E14" i="42"/>
  <c r="J11" i="42"/>
  <c r="I11" i="42"/>
  <c r="E11" i="42"/>
  <c r="J10" i="42"/>
  <c r="I10" i="42"/>
  <c r="E10" i="42"/>
  <c r="J7" i="42"/>
  <c r="I7" i="42"/>
  <c r="E7" i="42"/>
  <c r="J6" i="42"/>
  <c r="I6" i="42"/>
  <c r="E6" i="42"/>
  <c r="J76" i="41"/>
  <c r="I76" i="41"/>
  <c r="E76" i="41"/>
  <c r="J75" i="41"/>
  <c r="I75" i="41"/>
  <c r="E75" i="41"/>
  <c r="J74" i="41"/>
  <c r="I74" i="41"/>
  <c r="E74" i="41"/>
  <c r="J71" i="41"/>
  <c r="I71" i="41"/>
  <c r="E71" i="41"/>
  <c r="J70" i="41"/>
  <c r="I70" i="41"/>
  <c r="E70" i="41"/>
  <c r="J67" i="41"/>
  <c r="I67" i="41"/>
  <c r="E67" i="41"/>
  <c r="J66" i="41"/>
  <c r="I66" i="41"/>
  <c r="E66" i="41"/>
  <c r="J65" i="41"/>
  <c r="I65" i="41"/>
  <c r="E65" i="41"/>
  <c r="J64" i="41"/>
  <c r="I64" i="41"/>
  <c r="E64" i="41"/>
  <c r="J63" i="41"/>
  <c r="I63" i="41"/>
  <c r="E63" i="41"/>
  <c r="J62" i="41"/>
  <c r="I62" i="41"/>
  <c r="E62" i="41"/>
  <c r="J61" i="41"/>
  <c r="I61" i="41"/>
  <c r="E61" i="41"/>
  <c r="J60" i="41"/>
  <c r="I60" i="41"/>
  <c r="E60" i="41"/>
  <c r="J59" i="41"/>
  <c r="I59" i="41"/>
  <c r="E59" i="41"/>
  <c r="J58" i="41"/>
  <c r="I58" i="41"/>
  <c r="E58" i="41"/>
  <c r="J57" i="41"/>
  <c r="I57" i="41"/>
  <c r="E57" i="41"/>
  <c r="J56" i="41"/>
  <c r="I56" i="41"/>
  <c r="E56" i="41"/>
  <c r="J55" i="41"/>
  <c r="I55" i="41"/>
  <c r="E55" i="41"/>
  <c r="J52" i="41"/>
  <c r="I52" i="41"/>
  <c r="E52" i="41"/>
  <c r="J51" i="41"/>
  <c r="I51" i="41"/>
  <c r="E51" i="41"/>
  <c r="J50" i="41"/>
  <c r="I50" i="41"/>
  <c r="E50" i="41"/>
  <c r="J49" i="41"/>
  <c r="I49" i="41"/>
  <c r="E49" i="41"/>
  <c r="J48" i="41"/>
  <c r="I48" i="41"/>
  <c r="E48" i="41"/>
  <c r="J45" i="41"/>
  <c r="I45" i="41"/>
  <c r="E45" i="41"/>
  <c r="J44" i="41"/>
  <c r="I44" i="41"/>
  <c r="E44" i="41"/>
  <c r="J43" i="41"/>
  <c r="I43" i="41"/>
  <c r="E43" i="41"/>
  <c r="J42" i="41"/>
  <c r="I42" i="41"/>
  <c r="E42" i="41"/>
  <c r="J41" i="41"/>
  <c r="I41" i="41"/>
  <c r="E41" i="41"/>
  <c r="J40" i="41"/>
  <c r="I40" i="41"/>
  <c r="E40" i="41"/>
  <c r="J39" i="41"/>
  <c r="I39" i="41"/>
  <c r="E39" i="41"/>
  <c r="J38" i="41"/>
  <c r="I38" i="41"/>
  <c r="E38" i="41"/>
  <c r="J37" i="41"/>
  <c r="I37" i="41"/>
  <c r="E37" i="41"/>
  <c r="J34" i="41"/>
  <c r="I34" i="41"/>
  <c r="E34" i="41"/>
  <c r="J33" i="41"/>
  <c r="I33" i="41"/>
  <c r="E33" i="41"/>
  <c r="J32" i="41"/>
  <c r="I32" i="41"/>
  <c r="E32" i="41"/>
  <c r="J31" i="41"/>
  <c r="I31" i="41"/>
  <c r="E31" i="41"/>
  <c r="J30" i="41"/>
  <c r="I30" i="41"/>
  <c r="E30" i="41"/>
  <c r="J29" i="41"/>
  <c r="I29" i="41"/>
  <c r="E29" i="41"/>
  <c r="J28" i="41"/>
  <c r="I28" i="41"/>
  <c r="E28" i="41"/>
  <c r="J27" i="41"/>
  <c r="I27" i="41"/>
  <c r="E27" i="41"/>
  <c r="J26" i="41"/>
  <c r="I26" i="41"/>
  <c r="E26" i="41"/>
  <c r="J25" i="41"/>
  <c r="I25" i="41"/>
  <c r="E25" i="41"/>
  <c r="J24" i="41"/>
  <c r="I24" i="41"/>
  <c r="E24" i="41"/>
  <c r="J23" i="41"/>
  <c r="I23" i="41"/>
  <c r="E23" i="41"/>
  <c r="J20" i="41"/>
  <c r="I20" i="41"/>
  <c r="E20" i="41"/>
  <c r="J19" i="41"/>
  <c r="I19" i="41"/>
  <c r="E19" i="41"/>
  <c r="J18" i="41"/>
  <c r="I18" i="41"/>
  <c r="E18" i="41"/>
  <c r="J17" i="41"/>
  <c r="I17" i="41"/>
  <c r="E17" i="41"/>
  <c r="J16" i="41"/>
  <c r="I16" i="41"/>
  <c r="E16" i="41"/>
  <c r="J13" i="41"/>
  <c r="I13" i="41"/>
  <c r="E13" i="41"/>
  <c r="J12" i="41"/>
  <c r="I12" i="41"/>
  <c r="E12" i="41"/>
  <c r="J11" i="41"/>
  <c r="I11" i="41"/>
  <c r="E11" i="41"/>
  <c r="J10" i="41"/>
  <c r="I10" i="41"/>
  <c r="E10" i="41"/>
  <c r="J9" i="41"/>
  <c r="I9" i="41"/>
  <c r="E9" i="41"/>
  <c r="J6" i="41"/>
  <c r="I6" i="41"/>
  <c r="E6" i="41"/>
  <c r="J40" i="40"/>
  <c r="I40" i="40"/>
  <c r="E40" i="40"/>
  <c r="J37" i="40"/>
  <c r="I37" i="40"/>
  <c r="E37" i="40"/>
  <c r="J34" i="40"/>
  <c r="I34" i="40"/>
  <c r="E34" i="40"/>
  <c r="J33" i="40"/>
  <c r="I33" i="40"/>
  <c r="E33" i="40"/>
  <c r="J32" i="40"/>
  <c r="I32" i="40"/>
  <c r="E32" i="40"/>
  <c r="J29" i="40"/>
  <c r="I29" i="40"/>
  <c r="E29" i="40"/>
  <c r="J28" i="40"/>
  <c r="I28" i="40"/>
  <c r="E28" i="40"/>
  <c r="J27" i="40"/>
  <c r="I27" i="40"/>
  <c r="E27" i="40"/>
  <c r="J24" i="40"/>
  <c r="I24" i="40"/>
  <c r="E24" i="40"/>
  <c r="J23" i="40"/>
  <c r="I23" i="40"/>
  <c r="E23" i="40"/>
  <c r="J20" i="40"/>
  <c r="I20" i="40"/>
  <c r="E20" i="40"/>
  <c r="J19" i="40"/>
  <c r="I19" i="40"/>
  <c r="E19" i="40"/>
  <c r="J16" i="40"/>
  <c r="I16" i="40"/>
  <c r="E16" i="40"/>
  <c r="J13" i="40"/>
  <c r="I13" i="40"/>
  <c r="E13" i="40"/>
  <c r="J10" i="40"/>
  <c r="I10" i="40"/>
  <c r="E10" i="40"/>
  <c r="J9" i="40"/>
  <c r="I9" i="40"/>
  <c r="E9" i="40"/>
  <c r="J6" i="40"/>
  <c r="I6" i="40"/>
  <c r="E6" i="40"/>
  <c r="J93" i="39"/>
  <c r="I93" i="39"/>
  <c r="E93" i="39"/>
  <c r="J92" i="39"/>
  <c r="I92" i="39"/>
  <c r="E92" i="39"/>
  <c r="J91" i="39"/>
  <c r="I91" i="39"/>
  <c r="E91" i="39"/>
  <c r="J90" i="39"/>
  <c r="I90" i="39"/>
  <c r="E90" i="39"/>
  <c r="J89" i="39"/>
  <c r="I89" i="39"/>
  <c r="E89" i="39"/>
  <c r="J86" i="39"/>
  <c r="I86" i="39"/>
  <c r="E86" i="39"/>
  <c r="J85" i="39"/>
  <c r="I85" i="39"/>
  <c r="E85" i="39"/>
  <c r="J84" i="39"/>
  <c r="I84" i="39"/>
  <c r="E84" i="39"/>
  <c r="J83" i="39"/>
  <c r="I83" i="39"/>
  <c r="E83" i="39"/>
  <c r="J82" i="39"/>
  <c r="I82" i="39"/>
  <c r="E82" i="39"/>
  <c r="J81" i="39"/>
  <c r="I81" i="39"/>
  <c r="E81" i="39"/>
  <c r="J80" i="39"/>
  <c r="I80" i="39"/>
  <c r="E80" i="39"/>
  <c r="J79" i="39"/>
  <c r="E79" i="39"/>
  <c r="J76" i="39"/>
  <c r="I76" i="39"/>
  <c r="E76" i="39"/>
  <c r="J75" i="39"/>
  <c r="I75" i="39"/>
  <c r="E75" i="39"/>
  <c r="J74" i="39"/>
  <c r="I74" i="39"/>
  <c r="E74" i="39"/>
  <c r="J73" i="39"/>
  <c r="I73" i="39"/>
  <c r="E73" i="39"/>
  <c r="J72" i="39"/>
  <c r="I72" i="39"/>
  <c r="E72" i="39"/>
  <c r="J71" i="39"/>
  <c r="I71" i="39"/>
  <c r="E71" i="39"/>
  <c r="J68" i="39"/>
  <c r="I68" i="39"/>
  <c r="E68" i="39"/>
  <c r="J67" i="39"/>
  <c r="I67" i="39"/>
  <c r="E67" i="39"/>
  <c r="J66" i="39"/>
  <c r="I66" i="39"/>
  <c r="E66" i="39"/>
  <c r="J65" i="39"/>
  <c r="I65" i="39"/>
  <c r="E65" i="39"/>
  <c r="J64" i="39"/>
  <c r="I64" i="39"/>
  <c r="E64" i="39"/>
  <c r="J63" i="39"/>
  <c r="I63" i="39"/>
  <c r="E63" i="39"/>
  <c r="J62" i="39"/>
  <c r="I62" i="39"/>
  <c r="E62" i="39"/>
  <c r="J61" i="39"/>
  <c r="I61" i="39"/>
  <c r="E61" i="39"/>
  <c r="J60" i="39"/>
  <c r="I60" i="39"/>
  <c r="E60" i="39"/>
  <c r="J59" i="39"/>
  <c r="I59" i="39"/>
  <c r="E59" i="39"/>
  <c r="J58" i="39"/>
  <c r="I58" i="39"/>
  <c r="E58" i="39"/>
  <c r="J55" i="39"/>
  <c r="E55" i="39"/>
  <c r="J54" i="39"/>
  <c r="I54" i="39"/>
  <c r="E54" i="39"/>
  <c r="J53" i="39"/>
  <c r="I53" i="39"/>
  <c r="E53" i="39"/>
  <c r="J52" i="39"/>
  <c r="I52" i="39"/>
  <c r="E52" i="39"/>
  <c r="J51" i="39"/>
  <c r="I51" i="39"/>
  <c r="E51" i="39"/>
  <c r="J50" i="39"/>
  <c r="I50" i="39"/>
  <c r="E50" i="39"/>
  <c r="J49" i="39"/>
  <c r="I49" i="39"/>
  <c r="E49" i="39"/>
  <c r="J48" i="39"/>
  <c r="I48" i="39"/>
  <c r="E48" i="39"/>
  <c r="J47" i="39"/>
  <c r="I47" i="39"/>
  <c r="E47" i="39"/>
  <c r="J46" i="39"/>
  <c r="I46" i="39"/>
  <c r="E46" i="39"/>
  <c r="J45" i="39"/>
  <c r="I45" i="39"/>
  <c r="E45" i="39"/>
  <c r="J44" i="39"/>
  <c r="I44" i="39"/>
  <c r="E44" i="39"/>
  <c r="J43" i="39"/>
  <c r="I43" i="39"/>
  <c r="E43" i="39"/>
  <c r="J42" i="39"/>
  <c r="I42" i="39"/>
  <c r="E42" i="39"/>
  <c r="J39" i="39"/>
  <c r="I39" i="39"/>
  <c r="E39" i="39"/>
  <c r="J38" i="39"/>
  <c r="I38" i="39"/>
  <c r="E38" i="39"/>
  <c r="J37" i="39"/>
  <c r="I37" i="39"/>
  <c r="E37" i="39"/>
  <c r="J36" i="39"/>
  <c r="I36" i="39"/>
  <c r="E36" i="39"/>
  <c r="J35" i="39"/>
  <c r="I35" i="39"/>
  <c r="E35" i="39"/>
  <c r="J34" i="39"/>
  <c r="I34" i="39"/>
  <c r="E34" i="39"/>
  <c r="J33" i="39"/>
  <c r="I33" i="39"/>
  <c r="E33" i="39"/>
  <c r="J32" i="39"/>
  <c r="I32" i="39"/>
  <c r="E32" i="39"/>
  <c r="J29" i="39"/>
  <c r="I29" i="39"/>
  <c r="E29" i="39"/>
  <c r="J28" i="39"/>
  <c r="I28" i="39"/>
  <c r="E28" i="39"/>
  <c r="J27" i="39"/>
  <c r="I27" i="39"/>
  <c r="E27" i="39"/>
  <c r="J26" i="39"/>
  <c r="I26" i="39"/>
  <c r="E26" i="39"/>
  <c r="J23" i="39"/>
  <c r="I23" i="39"/>
  <c r="E23" i="39"/>
  <c r="J22" i="39"/>
  <c r="I22" i="39"/>
  <c r="E22" i="39"/>
  <c r="J21" i="39"/>
  <c r="I21" i="39"/>
  <c r="E21" i="39"/>
  <c r="J20" i="39"/>
  <c r="I20" i="39"/>
  <c r="E20" i="39"/>
  <c r="J17" i="39"/>
  <c r="E17" i="39"/>
  <c r="J16" i="39"/>
  <c r="I16" i="39"/>
  <c r="E16" i="39"/>
  <c r="J15" i="39"/>
  <c r="I15" i="39"/>
  <c r="E15" i="39"/>
  <c r="J12" i="39"/>
  <c r="I12" i="39"/>
  <c r="E12" i="39"/>
  <c r="J9" i="39"/>
  <c r="I9" i="39"/>
  <c r="E9" i="39"/>
  <c r="J6" i="39"/>
  <c r="I6" i="39"/>
  <c r="E6" i="39"/>
  <c r="L151" i="38"/>
  <c r="K151" i="38"/>
  <c r="E151" i="38"/>
  <c r="L148" i="38"/>
  <c r="K148" i="38"/>
  <c r="E148" i="38"/>
  <c r="L147" i="38"/>
  <c r="K147" i="38"/>
  <c r="E147" i="38"/>
  <c r="L146" i="38"/>
  <c r="K146" i="38"/>
  <c r="E146" i="38"/>
  <c r="L145" i="38"/>
  <c r="K145" i="38"/>
  <c r="E145" i="38"/>
  <c r="L142" i="38"/>
  <c r="E142" i="38"/>
  <c r="L141" i="38"/>
  <c r="E141" i="38"/>
  <c r="L140" i="38"/>
  <c r="K140" i="38"/>
  <c r="E140" i="38"/>
  <c r="L139" i="38"/>
  <c r="K139" i="38"/>
  <c r="E139" i="38"/>
  <c r="L138" i="38"/>
  <c r="K138" i="38"/>
  <c r="E138" i="38"/>
  <c r="L137" i="38"/>
  <c r="K137" i="38"/>
  <c r="E137" i="38"/>
  <c r="L136" i="38"/>
  <c r="K136" i="38"/>
  <c r="E136" i="38"/>
  <c r="L133" i="38"/>
  <c r="K133" i="38"/>
  <c r="E133" i="38"/>
  <c r="L132" i="38"/>
  <c r="K132" i="38"/>
  <c r="E132" i="38"/>
  <c r="L131" i="38"/>
  <c r="K131" i="38"/>
  <c r="E131" i="38"/>
  <c r="L130" i="38"/>
  <c r="K130" i="38"/>
  <c r="E130" i="38"/>
  <c r="L129" i="38"/>
  <c r="K129" i="38"/>
  <c r="E129" i="38"/>
  <c r="L128" i="38"/>
  <c r="K128" i="38"/>
  <c r="E128" i="38"/>
  <c r="L127" i="38"/>
  <c r="K127" i="38"/>
  <c r="E127" i="38"/>
  <c r="L126" i="38"/>
  <c r="K126" i="38"/>
  <c r="E126" i="38"/>
  <c r="L125" i="38"/>
  <c r="K125" i="38"/>
  <c r="E125" i="38"/>
  <c r="L122" i="38"/>
  <c r="K122" i="38"/>
  <c r="E122" i="38"/>
  <c r="L121" i="38"/>
  <c r="K121" i="38"/>
  <c r="E121" i="38"/>
  <c r="L120" i="38"/>
  <c r="K120" i="38"/>
  <c r="E120" i="38"/>
  <c r="L119" i="38"/>
  <c r="K119" i="38"/>
  <c r="E119" i="38"/>
  <c r="L118" i="38"/>
  <c r="K118" i="38"/>
  <c r="E118" i="38"/>
  <c r="L117" i="38"/>
  <c r="K117" i="38"/>
  <c r="E117" i="38"/>
  <c r="L116" i="38"/>
  <c r="K116" i="38"/>
  <c r="E116" i="38"/>
  <c r="L115" i="38"/>
  <c r="K115" i="38"/>
  <c r="E115" i="38"/>
  <c r="L112" i="38"/>
  <c r="K112" i="38"/>
  <c r="E112" i="38"/>
  <c r="L111" i="38"/>
  <c r="K111" i="38"/>
  <c r="E111" i="38"/>
  <c r="L110" i="38"/>
  <c r="K110" i="38"/>
  <c r="E110" i="38"/>
  <c r="L109" i="38"/>
  <c r="K109" i="38"/>
  <c r="E109" i="38"/>
  <c r="L108" i="38"/>
  <c r="K108" i="38"/>
  <c r="E108" i="38"/>
  <c r="L107" i="38"/>
  <c r="K107" i="38"/>
  <c r="E107" i="38"/>
  <c r="L106" i="38"/>
  <c r="K106" i="38"/>
  <c r="E106" i="38"/>
  <c r="L105" i="38"/>
  <c r="K105" i="38"/>
  <c r="E105" i="38"/>
  <c r="L104" i="38"/>
  <c r="K104" i="38"/>
  <c r="E104" i="38"/>
  <c r="L103" i="38"/>
  <c r="K103" i="38"/>
  <c r="E103" i="38"/>
  <c r="L102" i="38"/>
  <c r="K102" i="38"/>
  <c r="E102" i="38"/>
  <c r="L101" i="38"/>
  <c r="K101" i="38"/>
  <c r="E101" i="38"/>
  <c r="L100" i="38"/>
  <c r="K100" i="38"/>
  <c r="E100" i="38"/>
  <c r="L99" i="38"/>
  <c r="K99" i="38"/>
  <c r="E99" i="38"/>
  <c r="L98" i="38"/>
  <c r="K98" i="38"/>
  <c r="E98" i="38"/>
  <c r="L97" i="38"/>
  <c r="K97" i="38"/>
  <c r="E97" i="38"/>
  <c r="L94" i="38"/>
  <c r="K94" i="38"/>
  <c r="E94" i="38"/>
  <c r="L93" i="38"/>
  <c r="K93" i="38"/>
  <c r="E93" i="38"/>
  <c r="L92" i="38"/>
  <c r="K92" i="38"/>
  <c r="E92" i="38"/>
  <c r="L91" i="38"/>
  <c r="K91" i="38"/>
  <c r="E91" i="38"/>
  <c r="L90" i="38"/>
  <c r="K90" i="38"/>
  <c r="E90" i="38"/>
  <c r="L89" i="38"/>
  <c r="K89" i="38"/>
  <c r="E89" i="38"/>
  <c r="L88" i="38"/>
  <c r="K88" i="38"/>
  <c r="E88" i="38"/>
  <c r="L87" i="38"/>
  <c r="K87" i="38"/>
  <c r="E87" i="38"/>
  <c r="L86" i="38"/>
  <c r="K86" i="38"/>
  <c r="E86" i="38"/>
  <c r="L85" i="38"/>
  <c r="K85" i="38"/>
  <c r="E85" i="38"/>
  <c r="L84" i="38"/>
  <c r="K84" i="38"/>
  <c r="E84" i="38"/>
  <c r="L83" i="38"/>
  <c r="K83" i="38"/>
  <c r="E83" i="38"/>
  <c r="L82" i="38"/>
  <c r="K82" i="38"/>
  <c r="E82" i="38"/>
  <c r="L81" i="38"/>
  <c r="K81" i="38"/>
  <c r="E81" i="38"/>
  <c r="L80" i="38"/>
  <c r="K80" i="38"/>
  <c r="E80" i="38"/>
  <c r="L79" i="38"/>
  <c r="K79" i="38"/>
  <c r="E79" i="38"/>
  <c r="L76" i="38"/>
  <c r="K76" i="38"/>
  <c r="E76" i="38"/>
  <c r="L75" i="38"/>
  <c r="K75" i="38"/>
  <c r="E75" i="38"/>
  <c r="L74" i="38"/>
  <c r="K74" i="38"/>
  <c r="E74" i="38"/>
  <c r="L73" i="38"/>
  <c r="K73" i="38"/>
  <c r="E73" i="38"/>
  <c r="L72" i="38"/>
  <c r="K72" i="38"/>
  <c r="E72" i="38"/>
  <c r="L71" i="38"/>
  <c r="K71" i="38"/>
  <c r="E71" i="38"/>
  <c r="L70" i="38"/>
  <c r="K70" i="38"/>
  <c r="E70" i="38"/>
  <c r="L69" i="38"/>
  <c r="K69" i="38"/>
  <c r="E69" i="38"/>
  <c r="L68" i="38"/>
  <c r="K68" i="38"/>
  <c r="E68" i="38"/>
  <c r="L67" i="38"/>
  <c r="K67" i="38"/>
  <c r="E67" i="38"/>
  <c r="L66" i="38"/>
  <c r="K66" i="38"/>
  <c r="E66" i="38"/>
  <c r="L65" i="38"/>
  <c r="K65" i="38"/>
  <c r="E65" i="38"/>
  <c r="L64" i="38"/>
  <c r="K64" i="38"/>
  <c r="E64" i="38"/>
  <c r="L63" i="38"/>
  <c r="K63" i="38"/>
  <c r="E63" i="38"/>
  <c r="L62" i="38"/>
  <c r="K62" i="38"/>
  <c r="E62" i="38"/>
  <c r="L61" i="38"/>
  <c r="K61" i="38"/>
  <c r="E61" i="38"/>
  <c r="L60" i="38"/>
  <c r="K60" i="38"/>
  <c r="E60" i="38"/>
  <c r="L59" i="38"/>
  <c r="K59" i="38"/>
  <c r="E59" i="38"/>
  <c r="L58" i="38"/>
  <c r="K58" i="38"/>
  <c r="E58" i="38"/>
  <c r="L57" i="38"/>
  <c r="K57" i="38"/>
  <c r="E57" i="38"/>
  <c r="L56" i="38"/>
  <c r="K56" i="38"/>
  <c r="E56" i="38"/>
  <c r="L53" i="38"/>
  <c r="K53" i="38"/>
  <c r="E53" i="38"/>
  <c r="L52" i="38"/>
  <c r="K52" i="38"/>
  <c r="E52" i="38"/>
  <c r="L51" i="38"/>
  <c r="K51" i="38"/>
  <c r="E51" i="38"/>
  <c r="L50" i="38"/>
  <c r="E50" i="38"/>
  <c r="L49" i="38"/>
  <c r="K49" i="38"/>
  <c r="E49" i="38"/>
  <c r="L48" i="38"/>
  <c r="K48" i="38"/>
  <c r="E48" i="38"/>
  <c r="L47" i="38"/>
  <c r="K47" i="38"/>
  <c r="E47" i="38"/>
  <c r="L46" i="38"/>
  <c r="K46" i="38"/>
  <c r="E46" i="38"/>
  <c r="L45" i="38"/>
  <c r="K45" i="38"/>
  <c r="E45" i="38"/>
  <c r="L44" i="38"/>
  <c r="K44" i="38"/>
  <c r="E44" i="38"/>
  <c r="L43" i="38"/>
  <c r="K43" i="38"/>
  <c r="E43" i="38"/>
  <c r="L42" i="38"/>
  <c r="K42" i="38"/>
  <c r="E42" i="38"/>
  <c r="L41" i="38"/>
  <c r="K41" i="38"/>
  <c r="E41" i="38"/>
  <c r="L40" i="38"/>
  <c r="K40" i="38"/>
  <c r="E40" i="38"/>
  <c r="L37" i="38"/>
  <c r="K37" i="38"/>
  <c r="E37" i="38"/>
  <c r="L36" i="38"/>
  <c r="K36" i="38"/>
  <c r="E36" i="38"/>
  <c r="L35" i="38"/>
  <c r="K35" i="38"/>
  <c r="E35" i="38"/>
  <c r="L34" i="38"/>
  <c r="K34" i="38"/>
  <c r="E34" i="38"/>
  <c r="L33" i="38"/>
  <c r="K33" i="38"/>
  <c r="E33" i="38"/>
  <c r="L30" i="38"/>
  <c r="K30" i="38"/>
  <c r="E30" i="38"/>
  <c r="L29" i="38"/>
  <c r="K29" i="38"/>
  <c r="E29" i="38"/>
  <c r="L28" i="38"/>
  <c r="K28" i="38"/>
  <c r="E28" i="38"/>
  <c r="L25" i="38"/>
  <c r="K25" i="38"/>
  <c r="E25" i="38"/>
  <c r="L22" i="38"/>
  <c r="K22" i="38"/>
  <c r="E22" i="38"/>
  <c r="L19" i="38"/>
  <c r="K19" i="38"/>
  <c r="E19" i="38"/>
  <c r="L18" i="38"/>
  <c r="K18" i="38"/>
  <c r="E18" i="38"/>
  <c r="L15" i="38"/>
  <c r="K15" i="38"/>
  <c r="E15" i="38"/>
  <c r="L12" i="38"/>
  <c r="K12" i="38"/>
  <c r="E12" i="38"/>
  <c r="L9" i="38"/>
  <c r="K9" i="38"/>
  <c r="E9" i="38"/>
  <c r="L6" i="38"/>
  <c r="K6" i="38"/>
  <c r="E6" i="38"/>
  <c r="P10" i="37"/>
  <c r="O10" i="37"/>
  <c r="E10" i="37"/>
  <c r="P7" i="37"/>
  <c r="O7" i="37"/>
  <c r="E7" i="37"/>
  <c r="P6" i="37"/>
  <c r="O6" i="37"/>
  <c r="E6" i="37"/>
  <c r="P107" i="35"/>
  <c r="O107" i="35"/>
  <c r="E107" i="35"/>
  <c r="P104" i="35"/>
  <c r="O104" i="35"/>
  <c r="E104" i="35"/>
  <c r="P101" i="35"/>
  <c r="O101" i="35"/>
  <c r="E101" i="35"/>
  <c r="P100" i="35"/>
  <c r="O100" i="35"/>
  <c r="E100" i="35"/>
  <c r="P99" i="35"/>
  <c r="O99" i="35"/>
  <c r="E99" i="35"/>
  <c r="P98" i="35"/>
  <c r="O98" i="35"/>
  <c r="E98" i="35"/>
  <c r="P97" i="35"/>
  <c r="O97" i="35"/>
  <c r="E97" i="35"/>
  <c r="P96" i="35"/>
  <c r="O96" i="35"/>
  <c r="E96" i="35"/>
  <c r="P93" i="35"/>
  <c r="O93" i="35"/>
  <c r="E93" i="35"/>
  <c r="P92" i="35"/>
  <c r="O92" i="35"/>
  <c r="E92" i="35"/>
  <c r="P91" i="35"/>
  <c r="O91" i="35"/>
  <c r="E91" i="35"/>
  <c r="P90" i="35"/>
  <c r="O90" i="35"/>
  <c r="E90" i="35"/>
  <c r="P89" i="35"/>
  <c r="O89" i="35"/>
  <c r="E89" i="35"/>
  <c r="P88" i="35"/>
  <c r="O88" i="35"/>
  <c r="E88" i="35"/>
  <c r="P87" i="35"/>
  <c r="O87" i="35"/>
  <c r="E87" i="35"/>
  <c r="P84" i="35"/>
  <c r="O84" i="35"/>
  <c r="E84" i="35"/>
  <c r="P83" i="35"/>
  <c r="O83" i="35"/>
  <c r="E83" i="35"/>
  <c r="P82" i="35"/>
  <c r="O82" i="35"/>
  <c r="E82" i="35"/>
  <c r="P81" i="35"/>
  <c r="O81" i="35"/>
  <c r="E81" i="35"/>
  <c r="P80" i="35"/>
  <c r="O80" i="35"/>
  <c r="E80" i="35"/>
  <c r="P79" i="35"/>
  <c r="O79" i="35"/>
  <c r="E79" i="35"/>
  <c r="P78" i="35"/>
  <c r="O78" i="35"/>
  <c r="E78" i="35"/>
  <c r="P77" i="35"/>
  <c r="O77" i="35"/>
  <c r="E77" i="35"/>
  <c r="P76" i="35"/>
  <c r="O76" i="35"/>
  <c r="E76" i="35"/>
  <c r="P75" i="35"/>
  <c r="O75" i="35"/>
  <c r="E75" i="35"/>
  <c r="P74" i="35"/>
  <c r="O74" i="35"/>
  <c r="E74" i="35"/>
  <c r="P73" i="35"/>
  <c r="O73" i="35"/>
  <c r="E73" i="35"/>
  <c r="P72" i="35"/>
  <c r="O72" i="35"/>
  <c r="E72" i="35"/>
  <c r="P69" i="35"/>
  <c r="O69" i="35"/>
  <c r="E69" i="35"/>
  <c r="P68" i="35"/>
  <c r="E68" i="35"/>
  <c r="P67" i="35"/>
  <c r="O67" i="35"/>
  <c r="E67" i="35"/>
  <c r="P66" i="35"/>
  <c r="E66" i="35"/>
  <c r="P65" i="35"/>
  <c r="E65" i="35"/>
  <c r="P64" i="35"/>
  <c r="O64" i="35"/>
  <c r="E64" i="35"/>
  <c r="P63" i="35"/>
  <c r="O63" i="35"/>
  <c r="E63" i="35"/>
  <c r="P62" i="35"/>
  <c r="O62" i="35"/>
  <c r="E62" i="35"/>
  <c r="P61" i="35"/>
  <c r="O61" i="35"/>
  <c r="E61" i="35"/>
  <c r="P60" i="35"/>
  <c r="O60" i="35"/>
  <c r="E60" i="35"/>
  <c r="P59" i="35"/>
  <c r="O59" i="35"/>
  <c r="E59" i="35"/>
  <c r="P58" i="35"/>
  <c r="O58" i="35"/>
  <c r="E58" i="35"/>
  <c r="P55" i="35"/>
  <c r="O55" i="35"/>
  <c r="E55" i="35"/>
  <c r="P54" i="35"/>
  <c r="O54" i="35"/>
  <c r="E54" i="35"/>
  <c r="P53" i="35"/>
  <c r="O53" i="35"/>
  <c r="E53" i="35"/>
  <c r="P52" i="35"/>
  <c r="E52" i="35"/>
  <c r="P51" i="35"/>
  <c r="O51" i="35"/>
  <c r="E51" i="35"/>
  <c r="P50" i="35"/>
  <c r="O50" i="35"/>
  <c r="E50" i="35"/>
  <c r="P49" i="35"/>
  <c r="O49" i="35"/>
  <c r="E49" i="35"/>
  <c r="P48" i="35"/>
  <c r="O48" i="35"/>
  <c r="E48" i="35"/>
  <c r="P47" i="35"/>
  <c r="O47" i="35"/>
  <c r="E47" i="35"/>
  <c r="P46" i="35"/>
  <c r="O46" i="35"/>
  <c r="E46" i="35"/>
  <c r="P43" i="35"/>
  <c r="O43" i="35"/>
  <c r="E43" i="35"/>
  <c r="P42" i="35"/>
  <c r="O42" i="35"/>
  <c r="E42" i="35"/>
  <c r="P41" i="35"/>
  <c r="O41" i="35"/>
  <c r="E41" i="35"/>
  <c r="P40" i="35"/>
  <c r="O40" i="35"/>
  <c r="E40" i="35"/>
  <c r="P39" i="35"/>
  <c r="O39" i="35"/>
  <c r="E39" i="35"/>
  <c r="P38" i="35"/>
  <c r="O38" i="35"/>
  <c r="E38" i="35"/>
  <c r="P37" i="35"/>
  <c r="O37" i="35"/>
  <c r="E37" i="35"/>
  <c r="P34" i="35"/>
  <c r="O34" i="35"/>
  <c r="E34" i="35"/>
  <c r="P33" i="35"/>
  <c r="O33" i="35"/>
  <c r="E33" i="35"/>
  <c r="P32" i="35"/>
  <c r="O32" i="35"/>
  <c r="E32" i="35"/>
  <c r="P31" i="35"/>
  <c r="O31" i="35"/>
  <c r="E31" i="35"/>
  <c r="P28" i="35"/>
  <c r="O28" i="35"/>
  <c r="E28" i="35"/>
  <c r="P25" i="35"/>
  <c r="O25" i="35"/>
  <c r="E25" i="35"/>
  <c r="P24" i="35"/>
  <c r="O24" i="35"/>
  <c r="E24" i="35"/>
  <c r="P21" i="35"/>
  <c r="E21" i="35"/>
  <c r="P20" i="35"/>
  <c r="O20" i="35"/>
  <c r="E20" i="35"/>
  <c r="P17" i="35"/>
  <c r="O17" i="35"/>
  <c r="E17" i="35"/>
  <c r="P16" i="35"/>
  <c r="O16" i="35"/>
  <c r="E16" i="35"/>
  <c r="P15" i="35"/>
  <c r="O15" i="35"/>
  <c r="E15" i="35"/>
  <c r="P12" i="35"/>
  <c r="O12" i="35"/>
  <c r="E12" i="35"/>
  <c r="P11" i="35"/>
  <c r="O11" i="35"/>
  <c r="E11" i="35"/>
  <c r="P8" i="35"/>
  <c r="O8" i="35"/>
  <c r="E8" i="35"/>
  <c r="P7" i="35"/>
  <c r="O7" i="35"/>
  <c r="E7" i="35"/>
  <c r="P6" i="35"/>
  <c r="O6" i="35"/>
  <c r="E6" i="35"/>
  <c r="P93" i="34"/>
  <c r="O93" i="34"/>
  <c r="E93" i="34"/>
  <c r="P90" i="34"/>
  <c r="O90" i="34"/>
  <c r="E90" i="34"/>
  <c r="P87" i="34"/>
  <c r="O87" i="34"/>
  <c r="E87" i="34"/>
  <c r="P86" i="34"/>
  <c r="O86" i="34"/>
  <c r="E86" i="34"/>
  <c r="P85" i="34"/>
  <c r="O85" i="34"/>
  <c r="E85" i="34"/>
  <c r="P84" i="34"/>
  <c r="E84" i="34"/>
  <c r="P83" i="34"/>
  <c r="O83" i="34"/>
  <c r="E83" i="34"/>
  <c r="P82" i="34"/>
  <c r="O82" i="34"/>
  <c r="E82" i="34"/>
  <c r="P81" i="34"/>
  <c r="O81" i="34"/>
  <c r="E81" i="34"/>
  <c r="P80" i="34"/>
  <c r="O80" i="34"/>
  <c r="E80" i="34"/>
  <c r="P79" i="34"/>
  <c r="O79" i="34"/>
  <c r="E79" i="34"/>
  <c r="P78" i="34"/>
  <c r="O78" i="34"/>
  <c r="E78" i="34"/>
  <c r="P77" i="34"/>
  <c r="O77" i="34"/>
  <c r="E77" i="34"/>
  <c r="P76" i="34"/>
  <c r="O76" i="34"/>
  <c r="E76" i="34"/>
  <c r="P75" i="34"/>
  <c r="O75" i="34"/>
  <c r="E75" i="34"/>
  <c r="P72" i="34"/>
  <c r="O72" i="34"/>
  <c r="E72" i="34"/>
  <c r="P71" i="34"/>
  <c r="O71" i="34"/>
  <c r="E71" i="34"/>
  <c r="P70" i="34"/>
  <c r="O70" i="34"/>
  <c r="E70" i="34"/>
  <c r="P69" i="34"/>
  <c r="O69" i="34"/>
  <c r="E69" i="34"/>
  <c r="P68" i="34"/>
  <c r="O68" i="34"/>
  <c r="E68" i="34"/>
  <c r="P67" i="34"/>
  <c r="O67" i="34"/>
  <c r="E67" i="34"/>
  <c r="P66" i="34"/>
  <c r="O66" i="34"/>
  <c r="E66" i="34"/>
  <c r="P65" i="34"/>
  <c r="O65" i="34"/>
  <c r="E65" i="34"/>
  <c r="P62" i="34"/>
  <c r="O62" i="34"/>
  <c r="E62" i="34"/>
  <c r="P61" i="34"/>
  <c r="O61" i="34"/>
  <c r="E61" i="34"/>
  <c r="P60" i="34"/>
  <c r="O60" i="34"/>
  <c r="E60" i="34"/>
  <c r="P59" i="34"/>
  <c r="O59" i="34"/>
  <c r="E59" i="34"/>
  <c r="P58" i="34"/>
  <c r="O58" i="34"/>
  <c r="E58" i="34"/>
  <c r="P57" i="34"/>
  <c r="O57" i="34"/>
  <c r="E57" i="34"/>
  <c r="P56" i="34"/>
  <c r="O56" i="34"/>
  <c r="E56" i="34"/>
  <c r="P55" i="34"/>
  <c r="O55" i="34"/>
  <c r="E55" i="34"/>
  <c r="P54" i="34"/>
  <c r="O54" i="34"/>
  <c r="E54" i="34"/>
  <c r="P51" i="34"/>
  <c r="O51" i="34"/>
  <c r="E51" i="34"/>
  <c r="P50" i="34"/>
  <c r="O50" i="34"/>
  <c r="E50" i="34"/>
  <c r="P49" i="34"/>
  <c r="O49" i="34"/>
  <c r="E49" i="34"/>
  <c r="P48" i="34"/>
  <c r="O48" i="34"/>
  <c r="E48" i="34"/>
  <c r="P47" i="34"/>
  <c r="O47" i="34"/>
  <c r="E47" i="34"/>
  <c r="P46" i="34"/>
  <c r="O46" i="34"/>
  <c r="E46" i="34"/>
  <c r="P45" i="34"/>
  <c r="O45" i="34"/>
  <c r="E45" i="34"/>
  <c r="P44" i="34"/>
  <c r="O44" i="34"/>
  <c r="E44" i="34"/>
  <c r="P43" i="34"/>
  <c r="O43" i="34"/>
  <c r="E43" i="34"/>
  <c r="P42" i="34"/>
  <c r="O42" i="34"/>
  <c r="E42" i="34"/>
  <c r="P41" i="34"/>
  <c r="O41" i="34"/>
  <c r="E41" i="34"/>
  <c r="P38" i="34"/>
  <c r="O38" i="34"/>
  <c r="E38" i="34"/>
  <c r="P37" i="34"/>
  <c r="O37" i="34"/>
  <c r="E37" i="34"/>
  <c r="P36" i="34"/>
  <c r="O36" i="34"/>
  <c r="E36" i="34"/>
  <c r="P35" i="34"/>
  <c r="O35" i="34"/>
  <c r="E35" i="34"/>
  <c r="P34" i="34"/>
  <c r="O34" i="34"/>
  <c r="E34" i="34"/>
  <c r="P33" i="34"/>
  <c r="O33" i="34"/>
  <c r="E33" i="34"/>
  <c r="P32" i="34"/>
  <c r="O32" i="34"/>
  <c r="E32" i="34"/>
  <c r="P29" i="34"/>
  <c r="O29" i="34"/>
  <c r="E29" i="34"/>
  <c r="P28" i="34"/>
  <c r="O28" i="34"/>
  <c r="E28" i="34"/>
  <c r="P27" i="34"/>
  <c r="O27" i="34"/>
  <c r="E27" i="34"/>
  <c r="P26" i="34"/>
  <c r="O26" i="34"/>
  <c r="E26" i="34"/>
  <c r="P23" i="34"/>
  <c r="O23" i="34"/>
  <c r="E23" i="34"/>
  <c r="P22" i="34"/>
  <c r="O22" i="34"/>
  <c r="E22" i="34"/>
  <c r="P21" i="34"/>
  <c r="O21" i="34"/>
  <c r="E21" i="34"/>
  <c r="P18" i="34"/>
  <c r="O18" i="34"/>
  <c r="E18" i="34"/>
  <c r="P17" i="34"/>
  <c r="O17" i="34"/>
  <c r="E17" i="34"/>
  <c r="P14" i="34"/>
  <c r="O14" i="34"/>
  <c r="E14" i="34"/>
  <c r="P11" i="34"/>
  <c r="E11" i="34"/>
  <c r="P10" i="34"/>
  <c r="O10" i="34"/>
  <c r="E10" i="34"/>
  <c r="P7" i="34"/>
  <c r="O7" i="34"/>
  <c r="E7" i="34"/>
  <c r="P6" i="34"/>
  <c r="O6" i="34"/>
  <c r="E6" i="34"/>
  <c r="L10" i="33"/>
  <c r="K10" i="33"/>
  <c r="E10" i="33"/>
  <c r="L9" i="33"/>
  <c r="K9" i="33"/>
  <c r="E9" i="33"/>
  <c r="L6" i="33"/>
  <c r="K6" i="33"/>
  <c r="E6" i="33"/>
  <c r="L21" i="32"/>
  <c r="E21" i="32"/>
  <c r="L20" i="32"/>
  <c r="K20" i="32"/>
  <c r="E20" i="32"/>
  <c r="L19" i="32"/>
  <c r="K19" i="32"/>
  <c r="E19" i="32"/>
  <c r="L16" i="32"/>
  <c r="K16" i="32"/>
  <c r="E16" i="32"/>
  <c r="L15" i="32"/>
  <c r="K15" i="32"/>
  <c r="E15" i="32"/>
  <c r="L12" i="32"/>
  <c r="K12" i="32"/>
  <c r="E12" i="32"/>
  <c r="L11" i="32"/>
  <c r="K11" i="32"/>
  <c r="E11" i="32"/>
  <c r="L10" i="32"/>
  <c r="K10" i="32"/>
  <c r="E10" i="32"/>
  <c r="L7" i="32"/>
  <c r="K7" i="32"/>
  <c r="E7" i="32"/>
  <c r="L6" i="32"/>
  <c r="K6" i="32"/>
  <c r="E6" i="32"/>
  <c r="L206" i="31"/>
  <c r="K206" i="31"/>
  <c r="E206" i="31"/>
  <c r="L205" i="31"/>
  <c r="K205" i="31"/>
  <c r="E205" i="31"/>
  <c r="L202" i="31"/>
  <c r="K202" i="31"/>
  <c r="E202" i="31"/>
  <c r="L201" i="31"/>
  <c r="K201" i="31"/>
  <c r="E201" i="31"/>
  <c r="L198" i="31"/>
  <c r="K198" i="31"/>
  <c r="E198" i="31"/>
  <c r="L197" i="31"/>
  <c r="K197" i="31"/>
  <c r="E197" i="31"/>
  <c r="L196" i="31"/>
  <c r="K196" i="31"/>
  <c r="E196" i="31"/>
  <c r="L195" i="31"/>
  <c r="K195" i="31"/>
  <c r="E195" i="31"/>
  <c r="L194" i="31"/>
  <c r="K194" i="31"/>
  <c r="E194" i="31"/>
  <c r="L193" i="31"/>
  <c r="K193" i="31"/>
  <c r="E193" i="31"/>
  <c r="L192" i="31"/>
  <c r="K192" i="31"/>
  <c r="E192" i="31"/>
  <c r="L189" i="31"/>
  <c r="K189" i="31"/>
  <c r="E189" i="31"/>
  <c r="L188" i="31"/>
  <c r="E188" i="31"/>
  <c r="L187" i="31"/>
  <c r="K187" i="31"/>
  <c r="E187" i="31"/>
  <c r="L186" i="31"/>
  <c r="K186" i="31"/>
  <c r="E186" i="31"/>
  <c r="L185" i="31"/>
  <c r="K185" i="31"/>
  <c r="E185" i="31"/>
  <c r="L184" i="31"/>
  <c r="K184" i="31"/>
  <c r="E184" i="31"/>
  <c r="L183" i="31"/>
  <c r="E183" i="31"/>
  <c r="L182" i="31"/>
  <c r="K182" i="31"/>
  <c r="E182" i="31"/>
  <c r="L181" i="31"/>
  <c r="K181" i="31"/>
  <c r="E181" i="31"/>
  <c r="L180" i="31"/>
  <c r="K180" i="31"/>
  <c r="E180" i="31"/>
  <c r="L179" i="31"/>
  <c r="K179" i="31"/>
  <c r="E179" i="31"/>
  <c r="L178" i="31"/>
  <c r="K178" i="31"/>
  <c r="E178" i="31"/>
  <c r="L177" i="31"/>
  <c r="K177" i="31"/>
  <c r="E177" i="31"/>
  <c r="L176" i="31"/>
  <c r="K176" i="31"/>
  <c r="E176" i="31"/>
  <c r="L175" i="31"/>
  <c r="K175" i="31"/>
  <c r="E175" i="31"/>
  <c r="L174" i="31"/>
  <c r="K174" i="31"/>
  <c r="E174" i="31"/>
  <c r="L171" i="31"/>
  <c r="K171" i="31"/>
  <c r="E171" i="31"/>
  <c r="L170" i="31"/>
  <c r="K170" i="31"/>
  <c r="E170" i="31"/>
  <c r="L169" i="31"/>
  <c r="K169" i="31"/>
  <c r="E169" i="31"/>
  <c r="L168" i="31"/>
  <c r="K168" i="31"/>
  <c r="E168" i="31"/>
  <c r="L167" i="31"/>
  <c r="K167" i="31"/>
  <c r="E167" i="31"/>
  <c r="L166" i="31"/>
  <c r="K166" i="31"/>
  <c r="E166" i="31"/>
  <c r="L165" i="31"/>
  <c r="K165" i="31"/>
  <c r="E165" i="31"/>
  <c r="L164" i="31"/>
  <c r="K164" i="31"/>
  <c r="E164" i="31"/>
  <c r="L163" i="31"/>
  <c r="K163" i="31"/>
  <c r="E163" i="31"/>
  <c r="L162" i="31"/>
  <c r="K162" i="31"/>
  <c r="E162" i="31"/>
  <c r="L161" i="31"/>
  <c r="K161" i="31"/>
  <c r="E161" i="31"/>
  <c r="L160" i="31"/>
  <c r="K160" i="31"/>
  <c r="E160" i="31"/>
  <c r="L159" i="31"/>
  <c r="K159" i="31"/>
  <c r="E159" i="31"/>
  <c r="L158" i="31"/>
  <c r="K158" i="31"/>
  <c r="E158" i="31"/>
  <c r="L157" i="31"/>
  <c r="K157" i="31"/>
  <c r="E157" i="31"/>
  <c r="L156" i="31"/>
  <c r="K156" i="31"/>
  <c r="E156" i="31"/>
  <c r="L155" i="31"/>
  <c r="K155" i="31"/>
  <c r="E155" i="31"/>
  <c r="L154" i="31"/>
  <c r="K154" i="31"/>
  <c r="E154" i="31"/>
  <c r="L153" i="31"/>
  <c r="E153" i="31"/>
  <c r="L152" i="31"/>
  <c r="K152" i="31"/>
  <c r="E152" i="31"/>
  <c r="L151" i="31"/>
  <c r="K151" i="31"/>
  <c r="E151" i="31"/>
  <c r="L148" i="31"/>
  <c r="K148" i="31"/>
  <c r="E148" i="31"/>
  <c r="L147" i="31"/>
  <c r="K147" i="31"/>
  <c r="E147" i="31"/>
  <c r="L146" i="31"/>
  <c r="K146" i="31"/>
  <c r="E146" i="31"/>
  <c r="L145" i="31"/>
  <c r="K145" i="31"/>
  <c r="E145" i="31"/>
  <c r="L144" i="31"/>
  <c r="K144" i="31"/>
  <c r="E144" i="31"/>
  <c r="L143" i="31"/>
  <c r="K143" i="31"/>
  <c r="E143" i="31"/>
  <c r="L142" i="31"/>
  <c r="K142" i="31"/>
  <c r="E142" i="31"/>
  <c r="L141" i="31"/>
  <c r="K141" i="31"/>
  <c r="E141" i="31"/>
  <c r="L140" i="31"/>
  <c r="E140" i="31"/>
  <c r="L139" i="31"/>
  <c r="E139" i="31"/>
  <c r="L138" i="31"/>
  <c r="K138" i="31"/>
  <c r="E138" i="31"/>
  <c r="L137" i="31"/>
  <c r="K137" i="31"/>
  <c r="E137" i="31"/>
  <c r="L136" i="31"/>
  <c r="K136" i="31"/>
  <c r="E136" i="31"/>
  <c r="L135" i="31"/>
  <c r="K135" i="31"/>
  <c r="E135" i="31"/>
  <c r="L134" i="31"/>
  <c r="K134" i="31"/>
  <c r="E134" i="31"/>
  <c r="L133" i="31"/>
  <c r="K133" i="31"/>
  <c r="E133" i="31"/>
  <c r="L132" i="31"/>
  <c r="K132" i="31"/>
  <c r="E132" i="31"/>
  <c r="L131" i="31"/>
  <c r="K131" i="31"/>
  <c r="E131" i="31"/>
  <c r="L128" i="31"/>
  <c r="K128" i="31"/>
  <c r="E128" i="31"/>
  <c r="L127" i="31"/>
  <c r="K127" i="31"/>
  <c r="E127" i="31"/>
  <c r="L126" i="31"/>
  <c r="K126" i="31"/>
  <c r="E126" i="31"/>
  <c r="L125" i="31"/>
  <c r="E125" i="31"/>
  <c r="L124" i="31"/>
  <c r="K124" i="31"/>
  <c r="E124" i="31"/>
  <c r="L123" i="31"/>
  <c r="K123" i="31"/>
  <c r="E123" i="31"/>
  <c r="L122" i="31"/>
  <c r="K122" i="31"/>
  <c r="E122" i="31"/>
  <c r="L121" i="31"/>
  <c r="K121" i="31"/>
  <c r="E121" i="31"/>
  <c r="L120" i="31"/>
  <c r="K120" i="31"/>
  <c r="E120" i="31"/>
  <c r="L119" i="31"/>
  <c r="K119" i="31"/>
  <c r="E119" i="31"/>
  <c r="L118" i="31"/>
  <c r="K118" i="31"/>
  <c r="E118" i="31"/>
  <c r="L117" i="31"/>
  <c r="K117" i="31"/>
  <c r="E117" i="31"/>
  <c r="L116" i="31"/>
  <c r="K116" i="31"/>
  <c r="E116" i="31"/>
  <c r="L115" i="31"/>
  <c r="K115" i="31"/>
  <c r="E115" i="31"/>
  <c r="L114" i="31"/>
  <c r="K114" i="31"/>
  <c r="E114" i="31"/>
  <c r="L113" i="31"/>
  <c r="K113" i="31"/>
  <c r="E113" i="31"/>
  <c r="L112" i="31"/>
  <c r="K112" i="31"/>
  <c r="E112" i="31"/>
  <c r="L111" i="31"/>
  <c r="K111" i="31"/>
  <c r="E111" i="31"/>
  <c r="L110" i="31"/>
  <c r="K110" i="31"/>
  <c r="E110" i="31"/>
  <c r="L109" i="31"/>
  <c r="K109" i="31"/>
  <c r="E109" i="31"/>
  <c r="L108" i="31"/>
  <c r="K108" i="31"/>
  <c r="E108" i="31"/>
  <c r="L107" i="31"/>
  <c r="K107" i="31"/>
  <c r="E107" i="31"/>
  <c r="L104" i="31"/>
  <c r="K104" i="31"/>
  <c r="E104" i="31"/>
  <c r="L103" i="31"/>
  <c r="K103" i="31"/>
  <c r="E103" i="31"/>
  <c r="L102" i="31"/>
  <c r="K102" i="31"/>
  <c r="E102" i="31"/>
  <c r="L101" i="31"/>
  <c r="K101" i="31"/>
  <c r="E101" i="31"/>
  <c r="L100" i="31"/>
  <c r="K100" i="31"/>
  <c r="E100" i="31"/>
  <c r="L99" i="31"/>
  <c r="K99" i="31"/>
  <c r="E99" i="31"/>
  <c r="L98" i="31"/>
  <c r="K98" i="31"/>
  <c r="E98" i="31"/>
  <c r="L97" i="31"/>
  <c r="K97" i="31"/>
  <c r="E97" i="31"/>
  <c r="L96" i="31"/>
  <c r="K96" i="31"/>
  <c r="E96" i="31"/>
  <c r="L95" i="31"/>
  <c r="K95" i="31"/>
  <c r="E95" i="31"/>
  <c r="L94" i="31"/>
  <c r="K94" i="31"/>
  <c r="E94" i="31"/>
  <c r="L93" i="31"/>
  <c r="K93" i="31"/>
  <c r="E93" i="31"/>
  <c r="L92" i="31"/>
  <c r="K92" i="31"/>
  <c r="E92" i="31"/>
  <c r="L91" i="31"/>
  <c r="K91" i="31"/>
  <c r="E91" i="31"/>
  <c r="L90" i="31"/>
  <c r="K90" i="31"/>
  <c r="E90" i="31"/>
  <c r="L89" i="31"/>
  <c r="K89" i="31"/>
  <c r="E89" i="31"/>
  <c r="L88" i="31"/>
  <c r="K88" i="31"/>
  <c r="E88" i="31"/>
  <c r="L87" i="31"/>
  <c r="K87" i="31"/>
  <c r="E87" i="31"/>
  <c r="L86" i="31"/>
  <c r="K86" i="31"/>
  <c r="E86" i="31"/>
  <c r="L85" i="31"/>
  <c r="K85" i="31"/>
  <c r="E85" i="31"/>
  <c r="L82" i="31"/>
  <c r="K82" i="31"/>
  <c r="E82" i="31"/>
  <c r="L81" i="31"/>
  <c r="K81" i="31"/>
  <c r="E81" i="31"/>
  <c r="L80" i="31"/>
  <c r="K80" i="31"/>
  <c r="E80" i="31"/>
  <c r="L79" i="31"/>
  <c r="K79" i="31"/>
  <c r="E79" i="31"/>
  <c r="L78" i="31"/>
  <c r="K78" i="31"/>
  <c r="E78" i="31"/>
  <c r="L77" i="31"/>
  <c r="K77" i="31"/>
  <c r="E77" i="31"/>
  <c r="L76" i="31"/>
  <c r="K76" i="31"/>
  <c r="E76" i="31"/>
  <c r="L73" i="31"/>
  <c r="K73" i="31"/>
  <c r="E73" i="31"/>
  <c r="L72" i="31"/>
  <c r="K72" i="31"/>
  <c r="E72" i="31"/>
  <c r="L71" i="31"/>
  <c r="K71" i="31"/>
  <c r="E71" i="31"/>
  <c r="L70" i="31"/>
  <c r="K70" i="31"/>
  <c r="E70" i="31"/>
  <c r="L69" i="31"/>
  <c r="K69" i="31"/>
  <c r="E69" i="31"/>
  <c r="L66" i="31"/>
  <c r="K66" i="31"/>
  <c r="E66" i="31"/>
  <c r="L65" i="31"/>
  <c r="K65" i="31"/>
  <c r="E65" i="31"/>
  <c r="L64" i="31"/>
  <c r="K64" i="31"/>
  <c r="E64" i="31"/>
  <c r="L61" i="31"/>
  <c r="K61" i="31"/>
  <c r="E61" i="31"/>
  <c r="L58" i="31"/>
  <c r="K58" i="31"/>
  <c r="E58" i="31"/>
  <c r="L57" i="31"/>
  <c r="K57" i="31"/>
  <c r="E57" i="31"/>
  <c r="L56" i="31"/>
  <c r="K56" i="31"/>
  <c r="E56" i="31"/>
  <c r="L55" i="31"/>
  <c r="K55" i="31"/>
  <c r="E55" i="31"/>
  <c r="L52" i="31"/>
  <c r="K52" i="31"/>
  <c r="E52" i="31"/>
  <c r="L51" i="31"/>
  <c r="K51" i="31"/>
  <c r="E51" i="31"/>
  <c r="L50" i="31"/>
  <c r="K50" i="31"/>
  <c r="E50" i="31"/>
  <c r="L49" i="31"/>
  <c r="K49" i="31"/>
  <c r="E49" i="31"/>
  <c r="L48" i="31"/>
  <c r="K48" i="31"/>
  <c r="E48" i="31"/>
  <c r="L47" i="31"/>
  <c r="K47" i="31"/>
  <c r="E47" i="31"/>
  <c r="L46" i="31"/>
  <c r="K46" i="31"/>
  <c r="E46" i="31"/>
  <c r="L45" i="31"/>
  <c r="K45" i="31"/>
  <c r="E45" i="31"/>
  <c r="L42" i="31"/>
  <c r="E42" i="31"/>
  <c r="L41" i="31"/>
  <c r="K41" i="31"/>
  <c r="E41" i="31"/>
  <c r="L40" i="31"/>
  <c r="K40" i="31"/>
  <c r="E40" i="31"/>
  <c r="L39" i="31"/>
  <c r="E39" i="31"/>
  <c r="L38" i="31"/>
  <c r="K38" i="31"/>
  <c r="E38" i="31"/>
  <c r="L37" i="31"/>
  <c r="K37" i="31"/>
  <c r="E37" i="31"/>
  <c r="L34" i="31"/>
  <c r="K34" i="31"/>
  <c r="E34" i="31"/>
  <c r="L33" i="31"/>
  <c r="K33" i="31"/>
  <c r="E33" i="31"/>
  <c r="L32" i="31"/>
  <c r="E32" i="31"/>
  <c r="L31" i="31"/>
  <c r="K31" i="31"/>
  <c r="E31" i="31"/>
  <c r="L30" i="31"/>
  <c r="K30" i="31"/>
  <c r="E30" i="31"/>
  <c r="L29" i="31"/>
  <c r="K29" i="31"/>
  <c r="E29" i="31"/>
  <c r="L28" i="31"/>
  <c r="K28" i="31"/>
  <c r="E28" i="31"/>
  <c r="L27" i="31"/>
  <c r="K27" i="31"/>
  <c r="E27" i="31"/>
  <c r="L26" i="31"/>
  <c r="K26" i="31"/>
  <c r="E26" i="31"/>
  <c r="L25" i="31"/>
  <c r="K25" i="31"/>
  <c r="E25" i="31"/>
  <c r="L22" i="31"/>
  <c r="K22" i="31"/>
  <c r="E22" i="31"/>
  <c r="L21" i="31"/>
  <c r="E21" i="31"/>
  <c r="L20" i="31"/>
  <c r="K20" i="31"/>
  <c r="E20" i="31"/>
  <c r="L19" i="31"/>
  <c r="K19" i="31"/>
  <c r="E19" i="31"/>
  <c r="L18" i="31"/>
  <c r="K18" i="31"/>
  <c r="E18" i="31"/>
  <c r="L17" i="31"/>
  <c r="K17" i="31"/>
  <c r="E17" i="31"/>
  <c r="L16" i="31"/>
  <c r="K16" i="31"/>
  <c r="E16" i="31"/>
  <c r="L15" i="31"/>
  <c r="K15" i="31"/>
  <c r="E15" i="31"/>
  <c r="L14" i="31"/>
  <c r="K14" i="31"/>
  <c r="E14" i="31"/>
  <c r="L13" i="31"/>
  <c r="K13" i="31"/>
  <c r="E13" i="31"/>
  <c r="L10" i="31"/>
  <c r="K10" i="31"/>
  <c r="E10" i="31"/>
  <c r="L9" i="31"/>
  <c r="K9" i="31"/>
  <c r="E9" i="31"/>
  <c r="L8" i="31"/>
  <c r="K8" i="31"/>
  <c r="E8" i="31"/>
  <c r="L7" i="31"/>
  <c r="K7" i="31"/>
  <c r="E7" i="31"/>
  <c r="L6" i="31"/>
  <c r="K6" i="31"/>
  <c r="E6" i="31"/>
  <c r="L162" i="30"/>
  <c r="K162" i="30"/>
  <c r="E162" i="30"/>
  <c r="E161" i="30"/>
  <c r="L161" i="30" s="1"/>
  <c r="L158" i="30"/>
  <c r="K158" i="30"/>
  <c r="E158" i="30"/>
  <c r="L157" i="30"/>
  <c r="K157" i="30"/>
  <c r="E157" i="30"/>
  <c r="L156" i="30"/>
  <c r="K156" i="30"/>
  <c r="E156" i="30"/>
  <c r="L155" i="30"/>
  <c r="K155" i="30"/>
  <c r="E155" i="30"/>
  <c r="L152" i="30"/>
  <c r="K152" i="30"/>
  <c r="E152" i="30"/>
  <c r="L151" i="30"/>
  <c r="K151" i="30"/>
  <c r="E151" i="30"/>
  <c r="L150" i="30"/>
  <c r="K150" i="30"/>
  <c r="E150" i="30"/>
  <c r="L149" i="30"/>
  <c r="K149" i="30"/>
  <c r="E149" i="30"/>
  <c r="L148" i="30"/>
  <c r="K148" i="30"/>
  <c r="E148" i="30"/>
  <c r="L147" i="30"/>
  <c r="K147" i="30"/>
  <c r="E147" i="30"/>
  <c r="E140" i="30"/>
  <c r="L140" i="30" s="1"/>
  <c r="L146" i="30"/>
  <c r="K146" i="30"/>
  <c r="E146" i="30"/>
  <c r="L145" i="30"/>
  <c r="K145" i="30"/>
  <c r="E145" i="30"/>
  <c r="L144" i="30"/>
  <c r="K144" i="30"/>
  <c r="E144" i="30"/>
  <c r="L143" i="30"/>
  <c r="K143" i="30"/>
  <c r="E143" i="30"/>
  <c r="L142" i="30"/>
  <c r="K142" i="30"/>
  <c r="E142" i="30"/>
  <c r="L141" i="30"/>
  <c r="K141" i="30"/>
  <c r="E141" i="30"/>
  <c r="L139" i="30"/>
  <c r="K139" i="30"/>
  <c r="E139" i="30"/>
  <c r="L138" i="30"/>
  <c r="K138" i="30"/>
  <c r="E138" i="30"/>
  <c r="L137" i="30"/>
  <c r="K137" i="30"/>
  <c r="E137" i="30"/>
  <c r="L134" i="30"/>
  <c r="K134" i="30"/>
  <c r="E134" i="30"/>
  <c r="L133" i="30"/>
  <c r="K133" i="30"/>
  <c r="E133" i="30"/>
  <c r="L132" i="30"/>
  <c r="K132" i="30"/>
  <c r="E132" i="30"/>
  <c r="L131" i="30"/>
  <c r="K131" i="30"/>
  <c r="E131" i="30"/>
  <c r="L130" i="30"/>
  <c r="K130" i="30"/>
  <c r="E130" i="30"/>
  <c r="L129" i="30"/>
  <c r="K129" i="30"/>
  <c r="E129" i="30"/>
  <c r="L128" i="30"/>
  <c r="E128" i="30"/>
  <c r="L127" i="30"/>
  <c r="K127" i="30"/>
  <c r="E127" i="30"/>
  <c r="L126" i="30"/>
  <c r="K126" i="30"/>
  <c r="E126" i="30"/>
  <c r="L125" i="30"/>
  <c r="K125" i="30"/>
  <c r="E125" i="30"/>
  <c r="L124" i="30"/>
  <c r="K124" i="30"/>
  <c r="E124" i="30"/>
  <c r="L123" i="30"/>
  <c r="K123" i="30"/>
  <c r="E123" i="30"/>
  <c r="L122" i="30"/>
  <c r="K122" i="30"/>
  <c r="E122" i="30"/>
  <c r="L121" i="30"/>
  <c r="K121" i="30"/>
  <c r="E121" i="30"/>
  <c r="L120" i="30"/>
  <c r="K120" i="30"/>
  <c r="E120" i="30"/>
  <c r="L119" i="30"/>
  <c r="K119" i="30"/>
  <c r="E119" i="30"/>
  <c r="L116" i="30"/>
  <c r="K116" i="30"/>
  <c r="E116" i="30"/>
  <c r="L115" i="30"/>
  <c r="K115" i="30"/>
  <c r="E115" i="30"/>
  <c r="L114" i="30"/>
  <c r="K114" i="30"/>
  <c r="E114" i="30"/>
  <c r="L113" i="30"/>
  <c r="K113" i="30"/>
  <c r="E113" i="30"/>
  <c r="L112" i="30"/>
  <c r="E112" i="30"/>
  <c r="L111" i="30"/>
  <c r="E111" i="30"/>
  <c r="L110" i="30"/>
  <c r="K110" i="30"/>
  <c r="E110" i="30"/>
  <c r="L109" i="30"/>
  <c r="K109" i="30"/>
  <c r="E109" i="30"/>
  <c r="L108" i="30"/>
  <c r="K108" i="30"/>
  <c r="E108" i="30"/>
  <c r="L107" i="30"/>
  <c r="K107" i="30"/>
  <c r="E107" i="30"/>
  <c r="L106" i="30"/>
  <c r="K106" i="30"/>
  <c r="E106" i="30"/>
  <c r="L105" i="30"/>
  <c r="K105" i="30"/>
  <c r="E105" i="30"/>
  <c r="L104" i="30"/>
  <c r="K104" i="30"/>
  <c r="E104" i="30"/>
  <c r="L103" i="30"/>
  <c r="E103" i="30"/>
  <c r="L102" i="30"/>
  <c r="K102" i="30"/>
  <c r="E102" i="30"/>
  <c r="L101" i="30"/>
  <c r="K101" i="30"/>
  <c r="E101" i="30"/>
  <c r="L100" i="30"/>
  <c r="K100" i="30"/>
  <c r="E100" i="30"/>
  <c r="L99" i="30"/>
  <c r="K99" i="30"/>
  <c r="E99" i="30"/>
  <c r="L98" i="30"/>
  <c r="K98" i="30"/>
  <c r="E98" i="30"/>
  <c r="L97" i="30"/>
  <c r="K97" i="30"/>
  <c r="E97" i="30"/>
  <c r="L96" i="30"/>
  <c r="K96" i="30"/>
  <c r="E96" i="30"/>
  <c r="L95" i="30"/>
  <c r="K95" i="30"/>
  <c r="E95" i="30"/>
  <c r="L94" i="30"/>
  <c r="K94" i="30"/>
  <c r="E94" i="30"/>
  <c r="L93" i="30"/>
  <c r="K93" i="30"/>
  <c r="E93" i="30"/>
  <c r="L90" i="30"/>
  <c r="K90" i="30"/>
  <c r="E90" i="30"/>
  <c r="L89" i="30"/>
  <c r="K89" i="30"/>
  <c r="E89" i="30"/>
  <c r="L88" i="30"/>
  <c r="K88" i="30"/>
  <c r="E88" i="30"/>
  <c r="L87" i="30"/>
  <c r="K87" i="30"/>
  <c r="E87" i="30"/>
  <c r="L86" i="30"/>
  <c r="K86" i="30"/>
  <c r="E86" i="30"/>
  <c r="L85" i="30"/>
  <c r="K85" i="30"/>
  <c r="E85" i="30"/>
  <c r="L84" i="30"/>
  <c r="K84" i="30"/>
  <c r="E84" i="30"/>
  <c r="L83" i="30"/>
  <c r="K83" i="30"/>
  <c r="E83" i="30"/>
  <c r="L82" i="30"/>
  <c r="E82" i="30"/>
  <c r="L81" i="30"/>
  <c r="K81" i="30"/>
  <c r="E81" i="30"/>
  <c r="L80" i="30"/>
  <c r="K80" i="30"/>
  <c r="E80" i="30"/>
  <c r="L79" i="30"/>
  <c r="K79" i="30"/>
  <c r="E79" i="30"/>
  <c r="L78" i="30"/>
  <c r="K78" i="30"/>
  <c r="E78" i="30"/>
  <c r="L77" i="30"/>
  <c r="K77" i="30"/>
  <c r="E77" i="30"/>
  <c r="L76" i="30"/>
  <c r="K76" i="30"/>
  <c r="E76" i="30"/>
  <c r="L75" i="30"/>
  <c r="K75" i="30"/>
  <c r="E75" i="30"/>
  <c r="L74" i="30"/>
  <c r="K74" i="30"/>
  <c r="E74" i="30"/>
  <c r="L73" i="30"/>
  <c r="K73" i="30"/>
  <c r="E73" i="30"/>
  <c r="L72" i="30"/>
  <c r="K72" i="30"/>
  <c r="E72" i="30"/>
  <c r="L69" i="30"/>
  <c r="K69" i="30"/>
  <c r="E69" i="30"/>
  <c r="L68" i="30"/>
  <c r="K68" i="30"/>
  <c r="E68" i="30"/>
  <c r="L67" i="30"/>
  <c r="K67" i="30"/>
  <c r="E67" i="30"/>
  <c r="L66" i="30"/>
  <c r="K66" i="30"/>
  <c r="E66" i="30"/>
  <c r="L65" i="30"/>
  <c r="K65" i="30"/>
  <c r="E65" i="30"/>
  <c r="L64" i="30"/>
  <c r="K64" i="30"/>
  <c r="E64" i="30"/>
  <c r="L63" i="30"/>
  <c r="K63" i="30"/>
  <c r="E63" i="30"/>
  <c r="L62" i="30"/>
  <c r="K62" i="30"/>
  <c r="E62" i="30"/>
  <c r="L61" i="30"/>
  <c r="K61" i="30"/>
  <c r="E61" i="30"/>
  <c r="L58" i="30"/>
  <c r="E58" i="30"/>
  <c r="L57" i="30"/>
  <c r="K57" i="30"/>
  <c r="E57" i="30"/>
  <c r="L56" i="30"/>
  <c r="E56" i="30"/>
  <c r="L55" i="30"/>
  <c r="K55" i="30"/>
  <c r="E55" i="30"/>
  <c r="L54" i="30"/>
  <c r="K54" i="30"/>
  <c r="E54" i="30"/>
  <c r="L53" i="30"/>
  <c r="K53" i="30"/>
  <c r="E53" i="30"/>
  <c r="L52" i="30"/>
  <c r="K52" i="30"/>
  <c r="E52" i="30"/>
  <c r="L51" i="30"/>
  <c r="K51" i="30"/>
  <c r="E51" i="30"/>
  <c r="L50" i="30"/>
  <c r="K50" i="30"/>
  <c r="E50" i="30"/>
  <c r="L47" i="30"/>
  <c r="K47" i="30"/>
  <c r="E47" i="30"/>
  <c r="L46" i="30"/>
  <c r="K46" i="30"/>
  <c r="E46" i="30"/>
  <c r="L45" i="30"/>
  <c r="K45" i="30"/>
  <c r="E45" i="30"/>
  <c r="L44" i="30"/>
  <c r="K44" i="30"/>
  <c r="E44" i="30"/>
  <c r="L43" i="30"/>
  <c r="K43" i="30"/>
  <c r="E43" i="30"/>
  <c r="L42" i="30"/>
  <c r="K42" i="30"/>
  <c r="E42" i="30"/>
  <c r="L41" i="30"/>
  <c r="K41" i="30"/>
  <c r="E41" i="30"/>
  <c r="L40" i="30"/>
  <c r="K40" i="30"/>
  <c r="E40" i="30"/>
  <c r="L39" i="30"/>
  <c r="K39" i="30"/>
  <c r="E39" i="30"/>
  <c r="L38" i="30"/>
  <c r="K38" i="30"/>
  <c r="E38" i="30"/>
  <c r="L35" i="30"/>
  <c r="K35" i="30"/>
  <c r="E35" i="30"/>
  <c r="L34" i="30"/>
  <c r="K34" i="30"/>
  <c r="E34" i="30"/>
  <c r="L31" i="30"/>
  <c r="K31" i="30"/>
  <c r="E31" i="30"/>
  <c r="L30" i="30"/>
  <c r="K30" i="30"/>
  <c r="E30" i="30"/>
  <c r="L27" i="30"/>
  <c r="K27" i="30"/>
  <c r="E27" i="30"/>
  <c r="L24" i="30"/>
  <c r="E24" i="30"/>
  <c r="L23" i="30"/>
  <c r="K23" i="30"/>
  <c r="E23" i="30"/>
  <c r="L20" i="30"/>
  <c r="K20" i="30"/>
  <c r="E20" i="30"/>
  <c r="L19" i="30"/>
  <c r="E19" i="30"/>
  <c r="L18" i="30"/>
  <c r="K18" i="30"/>
  <c r="E18" i="30"/>
  <c r="L17" i="30"/>
  <c r="K17" i="30"/>
  <c r="E17" i="30"/>
  <c r="L14" i="30"/>
  <c r="K14" i="30"/>
  <c r="E14" i="30"/>
  <c r="L13" i="30"/>
  <c r="K13" i="30"/>
  <c r="E13" i="30"/>
  <c r="L10" i="30"/>
  <c r="E10" i="30"/>
  <c r="L9" i="30"/>
  <c r="K9" i="30"/>
  <c r="E9" i="30"/>
  <c r="L6" i="30"/>
  <c r="K6" i="30"/>
  <c r="E6" i="30"/>
  <c r="L7" i="29"/>
  <c r="K7" i="29"/>
  <c r="E7" i="29"/>
  <c r="L6" i="29"/>
  <c r="K6" i="29"/>
  <c r="E6" i="29"/>
  <c r="L22" i="28"/>
  <c r="K22" i="28"/>
  <c r="E22" i="28"/>
  <c r="L19" i="28"/>
  <c r="K19" i="28"/>
  <c r="E19" i="28"/>
  <c r="L18" i="28"/>
  <c r="E18" i="28"/>
  <c r="L15" i="28"/>
  <c r="K15" i="28"/>
  <c r="E15" i="28"/>
  <c r="L14" i="28"/>
  <c r="K14" i="28"/>
  <c r="E14" i="28"/>
  <c r="L13" i="28"/>
  <c r="K13" i="28"/>
  <c r="E13" i="28"/>
  <c r="L10" i="28"/>
  <c r="K10" i="28"/>
  <c r="E10" i="28"/>
  <c r="L9" i="28"/>
  <c r="K9" i="28"/>
  <c r="E9" i="28"/>
  <c r="L6" i="28"/>
  <c r="K6" i="28"/>
  <c r="E6" i="28"/>
  <c r="L45" i="27"/>
  <c r="K45" i="27"/>
  <c r="E45" i="27"/>
  <c r="L42" i="27"/>
  <c r="K42" i="27"/>
  <c r="E42" i="27"/>
  <c r="L41" i="27"/>
  <c r="K41" i="27"/>
  <c r="E41" i="27"/>
  <c r="L40" i="27"/>
  <c r="K40" i="27"/>
  <c r="E40" i="27"/>
  <c r="L37" i="27"/>
  <c r="K37" i="27"/>
  <c r="E37" i="27"/>
  <c r="L36" i="27"/>
  <c r="K36" i="27"/>
  <c r="E36" i="27"/>
  <c r="L33" i="27"/>
  <c r="K33" i="27"/>
  <c r="E33" i="27"/>
  <c r="L32" i="27"/>
  <c r="K32" i="27"/>
  <c r="E32" i="27"/>
  <c r="L31" i="27"/>
  <c r="K31" i="27"/>
  <c r="E31" i="27"/>
  <c r="L30" i="27"/>
  <c r="K30" i="27"/>
  <c r="E30" i="27"/>
  <c r="L29" i="27"/>
  <c r="K29" i="27"/>
  <c r="E29" i="27"/>
  <c r="L28" i="27"/>
  <c r="K28" i="27"/>
  <c r="E28" i="27"/>
  <c r="L25" i="27"/>
  <c r="K25" i="27"/>
  <c r="E25" i="27"/>
  <c r="L24" i="27"/>
  <c r="K24" i="27"/>
  <c r="E24" i="27"/>
  <c r="L23" i="27"/>
  <c r="K23" i="27"/>
  <c r="E23" i="27"/>
  <c r="L22" i="27"/>
  <c r="K22" i="27"/>
  <c r="E22" i="27"/>
  <c r="L21" i="27"/>
  <c r="K21" i="27"/>
  <c r="E21" i="27"/>
  <c r="L18" i="27"/>
  <c r="K18" i="27"/>
  <c r="E18" i="27"/>
  <c r="L17" i="27"/>
  <c r="K17" i="27"/>
  <c r="E17" i="27"/>
  <c r="L16" i="27"/>
  <c r="K16" i="27"/>
  <c r="E16" i="27"/>
  <c r="L15" i="27"/>
  <c r="K15" i="27"/>
  <c r="E15" i="27"/>
  <c r="L12" i="27"/>
  <c r="K12" i="27"/>
  <c r="E12" i="27"/>
  <c r="L11" i="27"/>
  <c r="K11" i="27"/>
  <c r="E11" i="27"/>
  <c r="L10" i="27"/>
  <c r="K10" i="27"/>
  <c r="E10" i="27"/>
  <c r="L7" i="27"/>
  <c r="K7" i="27"/>
  <c r="E7" i="27"/>
  <c r="L6" i="27"/>
  <c r="K6" i="27"/>
  <c r="E6" i="27"/>
  <c r="L72" i="26"/>
  <c r="K72" i="26"/>
  <c r="E72" i="26"/>
  <c r="L69" i="26"/>
  <c r="K69" i="26"/>
  <c r="E69" i="26"/>
  <c r="L68" i="26"/>
  <c r="K68" i="26"/>
  <c r="E68" i="26"/>
  <c r="L67" i="26"/>
  <c r="K67" i="26"/>
  <c r="E67" i="26"/>
  <c r="L66" i="26"/>
  <c r="K66" i="26"/>
  <c r="E66" i="26"/>
  <c r="L65" i="26"/>
  <c r="K65" i="26"/>
  <c r="E65" i="26"/>
  <c r="L62" i="26"/>
  <c r="K62" i="26"/>
  <c r="E62" i="26"/>
  <c r="L61" i="26"/>
  <c r="K61" i="26"/>
  <c r="E61" i="26"/>
  <c r="L60" i="26"/>
  <c r="K60" i="26"/>
  <c r="E60" i="26"/>
  <c r="L59" i="26"/>
  <c r="K59" i="26"/>
  <c r="E59" i="26"/>
  <c r="L58" i="26"/>
  <c r="K58" i="26"/>
  <c r="E58" i="26"/>
  <c r="L57" i="26"/>
  <c r="E57" i="26"/>
  <c r="L56" i="26"/>
  <c r="K56" i="26"/>
  <c r="E56" i="26"/>
  <c r="L54" i="26"/>
  <c r="K54" i="26"/>
  <c r="E54" i="26"/>
  <c r="L53" i="26"/>
  <c r="K53" i="26"/>
  <c r="E53" i="26"/>
  <c r="L52" i="26"/>
  <c r="K52" i="26"/>
  <c r="E52" i="26"/>
  <c r="L49" i="26"/>
  <c r="K49" i="26"/>
  <c r="E49" i="26"/>
  <c r="L48" i="26"/>
  <c r="K48" i="26"/>
  <c r="E48" i="26"/>
  <c r="L47" i="26"/>
  <c r="K47" i="26"/>
  <c r="E47" i="26"/>
  <c r="L46" i="26"/>
  <c r="K46" i="26"/>
  <c r="E46" i="26"/>
  <c r="L45" i="26"/>
  <c r="K45" i="26"/>
  <c r="E45" i="26"/>
  <c r="L44" i="26"/>
  <c r="K44" i="26"/>
  <c r="E44" i="26"/>
  <c r="L43" i="26"/>
  <c r="K43" i="26"/>
  <c r="E43" i="26"/>
  <c r="L42" i="26"/>
  <c r="K42" i="26"/>
  <c r="E42" i="26"/>
  <c r="L41" i="26"/>
  <c r="K41" i="26"/>
  <c r="E41" i="26"/>
  <c r="L38" i="26"/>
  <c r="K38" i="26"/>
  <c r="E38" i="26"/>
  <c r="L37" i="26"/>
  <c r="E37" i="26"/>
  <c r="L36" i="26"/>
  <c r="K36" i="26"/>
  <c r="E36" i="26"/>
  <c r="L35" i="26"/>
  <c r="K35" i="26"/>
  <c r="E35" i="26"/>
  <c r="L34" i="26"/>
  <c r="K34" i="26"/>
  <c r="E34" i="26"/>
  <c r="L33" i="26"/>
  <c r="K33" i="26"/>
  <c r="E33" i="26"/>
  <c r="L32" i="26"/>
  <c r="K32" i="26"/>
  <c r="E32" i="26"/>
  <c r="L31" i="26"/>
  <c r="K31" i="26"/>
  <c r="E31" i="26"/>
  <c r="L30" i="26"/>
  <c r="K30" i="26"/>
  <c r="E30" i="26"/>
  <c r="L29" i="26"/>
  <c r="K29" i="26"/>
  <c r="E29" i="26"/>
  <c r="L26" i="26"/>
  <c r="E26" i="26"/>
  <c r="L25" i="26"/>
  <c r="K25" i="26"/>
  <c r="E25" i="26"/>
  <c r="L24" i="26"/>
  <c r="K24" i="26"/>
  <c r="E24" i="26"/>
  <c r="L23" i="26"/>
  <c r="K23" i="26"/>
  <c r="E23" i="26"/>
  <c r="L22" i="26"/>
  <c r="K22" i="26"/>
  <c r="E22" i="26"/>
  <c r="L19" i="26"/>
  <c r="E19" i="26"/>
  <c r="L18" i="26"/>
  <c r="K18" i="26"/>
  <c r="E18" i="26"/>
  <c r="L17" i="26"/>
  <c r="K17" i="26"/>
  <c r="E17" i="26"/>
  <c r="L16" i="26"/>
  <c r="K16" i="26"/>
  <c r="E16" i="26"/>
  <c r="L15" i="26"/>
  <c r="K15" i="26"/>
  <c r="E15" i="26"/>
  <c r="L12" i="26"/>
  <c r="K12" i="26"/>
  <c r="E12" i="26"/>
  <c r="L9" i="26"/>
  <c r="K9" i="26"/>
  <c r="E9" i="26"/>
  <c r="L8" i="26"/>
  <c r="K8" i="26"/>
  <c r="E8" i="26"/>
  <c r="L7" i="26"/>
  <c r="K7" i="26"/>
  <c r="E7" i="26"/>
  <c r="L6" i="26"/>
  <c r="K6" i="26"/>
  <c r="E6" i="26"/>
  <c r="L25" i="25"/>
  <c r="K25" i="25"/>
  <c r="E25" i="25"/>
  <c r="L22" i="25"/>
  <c r="K22" i="25"/>
  <c r="E22" i="25"/>
  <c r="L21" i="25"/>
  <c r="K21" i="25"/>
  <c r="E21" i="25"/>
  <c r="L18" i="25"/>
  <c r="K18" i="25"/>
  <c r="E18" i="25"/>
  <c r="L15" i="25"/>
  <c r="K15" i="25"/>
  <c r="E15" i="25"/>
  <c r="L14" i="25"/>
  <c r="K14" i="25"/>
  <c r="E14" i="25"/>
  <c r="L13" i="25"/>
  <c r="K13" i="25"/>
  <c r="E13" i="25"/>
  <c r="L12" i="25"/>
  <c r="K12" i="25"/>
  <c r="E12" i="25"/>
  <c r="L9" i="25"/>
  <c r="K9" i="25"/>
  <c r="E9" i="25"/>
  <c r="L6" i="25"/>
  <c r="K6" i="25"/>
  <c r="E6" i="25"/>
  <c r="L27" i="24"/>
  <c r="E27" i="24"/>
  <c r="L24" i="24"/>
  <c r="K24" i="24"/>
  <c r="E24" i="24"/>
  <c r="L21" i="24"/>
  <c r="E21" i="24"/>
  <c r="L20" i="24"/>
  <c r="E20" i="24"/>
  <c r="L19" i="24"/>
  <c r="K19" i="24"/>
  <c r="E19" i="24"/>
  <c r="L16" i="24"/>
  <c r="K16" i="24"/>
  <c r="E16" i="24"/>
  <c r="L15" i="24"/>
  <c r="K15" i="24"/>
  <c r="E15" i="24"/>
  <c r="L14" i="24"/>
  <c r="K14" i="24"/>
  <c r="E14" i="24"/>
  <c r="L11" i="24"/>
  <c r="K11" i="24"/>
  <c r="E11" i="24"/>
  <c r="L10" i="24"/>
  <c r="K10" i="24"/>
  <c r="E10" i="24"/>
  <c r="L7" i="24"/>
  <c r="K7" i="24"/>
  <c r="E7" i="24"/>
  <c r="L6" i="24"/>
  <c r="K6" i="24"/>
  <c r="E6" i="24"/>
  <c r="L57" i="23"/>
  <c r="K57" i="23"/>
  <c r="E57" i="23"/>
  <c r="L56" i="23"/>
  <c r="K56" i="23"/>
  <c r="E56" i="23"/>
  <c r="L55" i="23"/>
  <c r="K55" i="23"/>
  <c r="E55" i="23"/>
  <c r="L52" i="23"/>
  <c r="K52" i="23"/>
  <c r="E52" i="23"/>
  <c r="L51" i="23"/>
  <c r="K51" i="23"/>
  <c r="E51" i="23"/>
  <c r="L50" i="23"/>
  <c r="K50" i="23"/>
  <c r="E50" i="23"/>
  <c r="L49" i="23"/>
  <c r="K49" i="23"/>
  <c r="E49" i="23"/>
  <c r="L48" i="23"/>
  <c r="K48" i="23"/>
  <c r="E48" i="23"/>
  <c r="L45" i="23"/>
  <c r="K45" i="23"/>
  <c r="E45" i="23"/>
  <c r="L44" i="23"/>
  <c r="K44" i="23"/>
  <c r="E44" i="23"/>
  <c r="L43" i="23"/>
  <c r="K43" i="23"/>
  <c r="E43" i="23"/>
  <c r="L42" i="23"/>
  <c r="K42" i="23"/>
  <c r="E42" i="23"/>
  <c r="L41" i="23"/>
  <c r="K41" i="23"/>
  <c r="E41" i="23"/>
  <c r="L38" i="23"/>
  <c r="K38" i="23"/>
  <c r="E38" i="23"/>
  <c r="L37" i="23"/>
  <c r="K37" i="23"/>
  <c r="E37" i="23"/>
  <c r="L36" i="23"/>
  <c r="K36" i="23"/>
  <c r="E36" i="23"/>
  <c r="L35" i="23"/>
  <c r="K35" i="23"/>
  <c r="E35" i="23"/>
  <c r="L34" i="23"/>
  <c r="E34" i="23"/>
  <c r="L33" i="23"/>
  <c r="K33" i="23"/>
  <c r="E33" i="23"/>
  <c r="L30" i="23"/>
  <c r="K30" i="23"/>
  <c r="E30" i="23"/>
  <c r="L29" i="23"/>
  <c r="K29" i="23"/>
  <c r="E29" i="23"/>
  <c r="L28" i="23"/>
  <c r="K28" i="23"/>
  <c r="E28" i="23"/>
  <c r="L27" i="23"/>
  <c r="K27" i="23"/>
  <c r="E27" i="23"/>
  <c r="L26" i="23"/>
  <c r="K26" i="23"/>
  <c r="E26" i="23"/>
  <c r="L25" i="23"/>
  <c r="K25" i="23"/>
  <c r="E25" i="23"/>
  <c r="L24" i="23"/>
  <c r="K24" i="23"/>
  <c r="E24" i="23"/>
  <c r="L23" i="23"/>
  <c r="K23" i="23"/>
  <c r="E23" i="23"/>
  <c r="L20" i="23"/>
  <c r="E20" i="23"/>
  <c r="L19" i="23"/>
  <c r="K19" i="23"/>
  <c r="E19" i="23"/>
  <c r="L18" i="23"/>
  <c r="K18" i="23"/>
  <c r="E18" i="23"/>
  <c r="L17" i="23"/>
  <c r="K17" i="23"/>
  <c r="E17" i="23"/>
  <c r="L16" i="23"/>
  <c r="K16" i="23"/>
  <c r="E16" i="23"/>
  <c r="L15" i="23"/>
  <c r="E15" i="23"/>
  <c r="L14" i="23"/>
  <c r="K14" i="23"/>
  <c r="E14" i="23"/>
  <c r="L13" i="23"/>
  <c r="K13" i="23"/>
  <c r="E13" i="23"/>
  <c r="L12" i="23"/>
  <c r="K12" i="23"/>
  <c r="E12" i="23"/>
  <c r="L9" i="23"/>
  <c r="K9" i="23"/>
  <c r="E9" i="23"/>
  <c r="L6" i="23"/>
  <c r="K6" i="23"/>
  <c r="E6" i="23"/>
  <c r="L334" i="22"/>
  <c r="K334" i="22"/>
  <c r="E334" i="22"/>
  <c r="L333" i="22"/>
  <c r="K333" i="22"/>
  <c r="E333" i="22"/>
  <c r="L332" i="22"/>
  <c r="K332" i="22"/>
  <c r="E332" i="22"/>
  <c r="L331" i="22"/>
  <c r="K331" i="22"/>
  <c r="E331" i="22"/>
  <c r="L330" i="22"/>
  <c r="K330" i="22"/>
  <c r="E330" i="22"/>
  <c r="L329" i="22"/>
  <c r="K329" i="22"/>
  <c r="E329" i="22"/>
  <c r="L326" i="22"/>
  <c r="K326" i="22"/>
  <c r="E326" i="22"/>
  <c r="L325" i="22"/>
  <c r="K325" i="22"/>
  <c r="E325" i="22"/>
  <c r="L324" i="22"/>
  <c r="K324" i="22"/>
  <c r="E324" i="22"/>
  <c r="L323" i="22"/>
  <c r="E323" i="22"/>
  <c r="L322" i="22"/>
  <c r="K322" i="22"/>
  <c r="E322" i="22"/>
  <c r="L321" i="22"/>
  <c r="K321" i="22"/>
  <c r="E321" i="22"/>
  <c r="L320" i="22"/>
  <c r="K320" i="22"/>
  <c r="E320" i="22"/>
  <c r="L319" i="22"/>
  <c r="K319" i="22"/>
  <c r="E319" i="22"/>
  <c r="L316" i="22"/>
  <c r="K316" i="22"/>
  <c r="E316" i="22"/>
  <c r="L315" i="22"/>
  <c r="K315" i="22"/>
  <c r="E315" i="22"/>
  <c r="L314" i="22"/>
  <c r="K314" i="22"/>
  <c r="E314" i="22"/>
  <c r="L313" i="22"/>
  <c r="K313" i="22"/>
  <c r="E313" i="22"/>
  <c r="L312" i="22"/>
  <c r="K312" i="22"/>
  <c r="E312" i="22"/>
  <c r="L311" i="22"/>
  <c r="K311" i="22"/>
  <c r="E311" i="22"/>
  <c r="L310" i="22"/>
  <c r="K310" i="22"/>
  <c r="E310" i="22"/>
  <c r="L309" i="22"/>
  <c r="K309" i="22"/>
  <c r="E309" i="22"/>
  <c r="L308" i="22"/>
  <c r="K308" i="22"/>
  <c r="E308" i="22"/>
  <c r="L307" i="22"/>
  <c r="K307" i="22"/>
  <c r="E307" i="22"/>
  <c r="L306" i="22"/>
  <c r="K306" i="22"/>
  <c r="E306" i="22"/>
  <c r="L305" i="22"/>
  <c r="K305" i="22"/>
  <c r="E305" i="22"/>
  <c r="L304" i="22"/>
  <c r="K304" i="22"/>
  <c r="E304" i="22"/>
  <c r="L303" i="22"/>
  <c r="K303" i="22"/>
  <c r="E303" i="22"/>
  <c r="L302" i="22"/>
  <c r="K302" i="22"/>
  <c r="E302" i="22"/>
  <c r="L299" i="22"/>
  <c r="K299" i="22"/>
  <c r="E299" i="22"/>
  <c r="L298" i="22"/>
  <c r="K298" i="22"/>
  <c r="E298" i="22"/>
  <c r="L297" i="22"/>
  <c r="K297" i="22"/>
  <c r="E297" i="22"/>
  <c r="L296" i="22"/>
  <c r="K296" i="22"/>
  <c r="E296" i="22"/>
  <c r="L295" i="22"/>
  <c r="K295" i="22"/>
  <c r="E295" i="22"/>
  <c r="L294" i="22"/>
  <c r="K294" i="22"/>
  <c r="E294" i="22"/>
  <c r="L293" i="22"/>
  <c r="K293" i="22"/>
  <c r="E293" i="22"/>
  <c r="L292" i="22"/>
  <c r="K292" i="22"/>
  <c r="E292" i="22"/>
  <c r="L291" i="22"/>
  <c r="K291" i="22"/>
  <c r="E291" i="22"/>
  <c r="L290" i="22"/>
  <c r="E290" i="22"/>
  <c r="L289" i="22"/>
  <c r="E289" i="22"/>
  <c r="L288" i="22"/>
  <c r="E288" i="22"/>
  <c r="L286" i="22"/>
  <c r="K286" i="22"/>
  <c r="E286" i="22"/>
  <c r="L285" i="22"/>
  <c r="K285" i="22"/>
  <c r="E285" i="22"/>
  <c r="L284" i="22"/>
  <c r="K284" i="22"/>
  <c r="E284" i="22"/>
  <c r="L283" i="22"/>
  <c r="K283" i="22"/>
  <c r="E283" i="22"/>
  <c r="L282" i="22"/>
  <c r="K282" i="22"/>
  <c r="E282" i="22"/>
  <c r="L281" i="22"/>
  <c r="K281" i="22"/>
  <c r="E281" i="22"/>
  <c r="L280" i="22"/>
  <c r="K280" i="22"/>
  <c r="E280" i="22"/>
  <c r="L279" i="22"/>
  <c r="K279" i="22"/>
  <c r="E279" i="22"/>
  <c r="L278" i="22"/>
  <c r="K278" i="22"/>
  <c r="E278" i="22"/>
  <c r="L277" i="22"/>
  <c r="K277" i="22"/>
  <c r="E277" i="22"/>
  <c r="L276" i="22"/>
  <c r="K276" i="22"/>
  <c r="E276" i="22"/>
  <c r="L275" i="22"/>
  <c r="K275" i="22"/>
  <c r="E275" i="22"/>
  <c r="L274" i="22"/>
  <c r="K274" i="22"/>
  <c r="E274" i="22"/>
  <c r="L273" i="22"/>
  <c r="K273" i="22"/>
  <c r="E273" i="22"/>
  <c r="L272" i="22"/>
  <c r="K272" i="22"/>
  <c r="E272" i="22"/>
  <c r="L287" i="22"/>
  <c r="K287" i="22"/>
  <c r="E287" i="22"/>
  <c r="L271" i="22"/>
  <c r="K271" i="22"/>
  <c r="E271" i="22"/>
  <c r="L270" i="22"/>
  <c r="K270" i="22"/>
  <c r="E270" i="22"/>
  <c r="L269" i="22"/>
  <c r="K269" i="22"/>
  <c r="E269" i="22"/>
  <c r="L268" i="22"/>
  <c r="K268" i="22"/>
  <c r="E268" i="22"/>
  <c r="L265" i="22"/>
  <c r="K265" i="22"/>
  <c r="E265" i="22"/>
  <c r="L264" i="22"/>
  <c r="K264" i="22"/>
  <c r="E264" i="22"/>
  <c r="L263" i="22"/>
  <c r="K263" i="22"/>
  <c r="E263" i="22"/>
  <c r="L262" i="22"/>
  <c r="K262" i="22"/>
  <c r="E262" i="22"/>
  <c r="L261" i="22"/>
  <c r="K261" i="22"/>
  <c r="E261" i="22"/>
  <c r="L260" i="22"/>
  <c r="K260" i="22"/>
  <c r="E260" i="22"/>
  <c r="L259" i="22"/>
  <c r="K259" i="22"/>
  <c r="E259" i="22"/>
  <c r="L258" i="22"/>
  <c r="K258" i="22"/>
  <c r="E258" i="22"/>
  <c r="L257" i="22"/>
  <c r="K257" i="22"/>
  <c r="E257" i="22"/>
  <c r="L256" i="22"/>
  <c r="K256" i="22"/>
  <c r="E256" i="22"/>
  <c r="L255" i="22"/>
  <c r="K255" i="22"/>
  <c r="E255" i="22"/>
  <c r="L254" i="22"/>
  <c r="K254" i="22"/>
  <c r="E254" i="22"/>
  <c r="L253" i="22"/>
  <c r="K253" i="22"/>
  <c r="E253" i="22"/>
  <c r="L252" i="22"/>
  <c r="K252" i="22"/>
  <c r="E252" i="22"/>
  <c r="L251" i="22"/>
  <c r="K251" i="22"/>
  <c r="E251" i="22"/>
  <c r="L250" i="22"/>
  <c r="K250" i="22"/>
  <c r="E250" i="22"/>
  <c r="L249" i="22"/>
  <c r="E249" i="22"/>
  <c r="L248" i="22"/>
  <c r="E248" i="22"/>
  <c r="L247" i="22"/>
  <c r="E247" i="22"/>
  <c r="L246" i="22"/>
  <c r="E246" i="22"/>
  <c r="L245" i="22"/>
  <c r="K245" i="22"/>
  <c r="E245" i="22"/>
  <c r="L244" i="22"/>
  <c r="K244" i="22"/>
  <c r="E244" i="22"/>
  <c r="L243" i="22"/>
  <c r="K243" i="22"/>
  <c r="E243" i="22"/>
  <c r="L242" i="22"/>
  <c r="K242" i="22"/>
  <c r="E242" i="22"/>
  <c r="L241" i="22"/>
  <c r="K241" i="22"/>
  <c r="E241" i="22"/>
  <c r="L240" i="22"/>
  <c r="K240" i="22"/>
  <c r="E240" i="22"/>
  <c r="L239" i="22"/>
  <c r="K239" i="22"/>
  <c r="E239" i="22"/>
  <c r="L238" i="22"/>
  <c r="K238" i="22"/>
  <c r="E238" i="22"/>
  <c r="L237" i="22"/>
  <c r="K237" i="22"/>
  <c r="E237" i="22"/>
  <c r="L236" i="22"/>
  <c r="K236" i="22"/>
  <c r="E236" i="22"/>
  <c r="L235" i="22"/>
  <c r="K235" i="22"/>
  <c r="E235" i="22"/>
  <c r="L234" i="22"/>
  <c r="K234" i="22"/>
  <c r="E234" i="22"/>
  <c r="L233" i="22"/>
  <c r="K233" i="22"/>
  <c r="E233" i="22"/>
  <c r="L232" i="22"/>
  <c r="K232" i="22"/>
  <c r="E232" i="22"/>
  <c r="L231" i="22"/>
  <c r="K231" i="22"/>
  <c r="E231" i="22"/>
  <c r="L230" i="22"/>
  <c r="K230" i="22"/>
  <c r="E230" i="22"/>
  <c r="L229" i="22"/>
  <c r="K229" i="22"/>
  <c r="E229" i="22"/>
  <c r="L228" i="22"/>
  <c r="K228" i="22"/>
  <c r="E228" i="22"/>
  <c r="L227" i="22"/>
  <c r="K227" i="22"/>
  <c r="E227" i="22"/>
  <c r="L226" i="22"/>
  <c r="K226" i="22"/>
  <c r="E226" i="22"/>
  <c r="L225" i="22"/>
  <c r="K225" i="22"/>
  <c r="E225" i="22"/>
  <c r="L224" i="22"/>
  <c r="K224" i="22"/>
  <c r="E224" i="22"/>
  <c r="L223" i="22"/>
  <c r="K223" i="22"/>
  <c r="E223" i="22"/>
  <c r="L222" i="22"/>
  <c r="K222" i="22"/>
  <c r="E222" i="22"/>
  <c r="L221" i="22"/>
  <c r="K221" i="22"/>
  <c r="E221" i="22"/>
  <c r="L220" i="22"/>
  <c r="K220" i="22"/>
  <c r="E220" i="22"/>
  <c r="L219" i="22"/>
  <c r="K219" i="22"/>
  <c r="E219" i="22"/>
  <c r="L218" i="22"/>
  <c r="K218" i="22"/>
  <c r="E218" i="22"/>
  <c r="L217" i="22"/>
  <c r="K217" i="22"/>
  <c r="E217" i="22"/>
  <c r="L216" i="22"/>
  <c r="K216" i="22"/>
  <c r="E216" i="22"/>
  <c r="L215" i="22"/>
  <c r="K215" i="22"/>
  <c r="E215" i="22"/>
  <c r="L214" i="22"/>
  <c r="K214" i="22"/>
  <c r="E214" i="22"/>
  <c r="L211" i="22"/>
  <c r="K211" i="22"/>
  <c r="E211" i="22"/>
  <c r="L210" i="22"/>
  <c r="K210" i="22"/>
  <c r="E210" i="22"/>
  <c r="L209" i="22"/>
  <c r="K209" i="22"/>
  <c r="E209" i="22"/>
  <c r="L208" i="22"/>
  <c r="K208" i="22"/>
  <c r="E208" i="22"/>
  <c r="L207" i="22"/>
  <c r="K207" i="22"/>
  <c r="E207" i="22"/>
  <c r="L206" i="22"/>
  <c r="K206" i="22"/>
  <c r="E206" i="22"/>
  <c r="L205" i="22"/>
  <c r="K205" i="22"/>
  <c r="E205" i="22"/>
  <c r="L204" i="22"/>
  <c r="K204" i="22"/>
  <c r="E204" i="22"/>
  <c r="L203" i="22"/>
  <c r="K203" i="22"/>
  <c r="E203" i="22"/>
  <c r="L202" i="22"/>
  <c r="K202" i="22"/>
  <c r="E202" i="22"/>
  <c r="L201" i="22"/>
  <c r="K201" i="22"/>
  <c r="E201" i="22"/>
  <c r="L200" i="22"/>
  <c r="K200" i="22"/>
  <c r="E200" i="22"/>
  <c r="L199" i="22"/>
  <c r="E199" i="22"/>
  <c r="L198" i="22"/>
  <c r="E198" i="22"/>
  <c r="L197" i="22"/>
  <c r="K197" i="22"/>
  <c r="E197" i="22"/>
  <c r="L196" i="22"/>
  <c r="K196" i="22"/>
  <c r="E196" i="22"/>
  <c r="L195" i="22"/>
  <c r="K195" i="22"/>
  <c r="E195" i="22"/>
  <c r="L194" i="22"/>
  <c r="K194" i="22"/>
  <c r="E194" i="22"/>
  <c r="L193" i="22"/>
  <c r="K193" i="22"/>
  <c r="E193" i="22"/>
  <c r="L192" i="22"/>
  <c r="K192" i="22"/>
  <c r="E192" i="22"/>
  <c r="L191" i="22"/>
  <c r="K191" i="22"/>
  <c r="E191" i="22"/>
  <c r="L190" i="22"/>
  <c r="K190" i="22"/>
  <c r="E190" i="22"/>
  <c r="L189" i="22"/>
  <c r="K189" i="22"/>
  <c r="E189" i="22"/>
  <c r="L188" i="22"/>
  <c r="K188" i="22"/>
  <c r="E188" i="22"/>
  <c r="L187" i="22"/>
  <c r="K187" i="22"/>
  <c r="E187" i="22"/>
  <c r="L186" i="22"/>
  <c r="K186" i="22"/>
  <c r="E186" i="22"/>
  <c r="L185" i="22"/>
  <c r="K185" i="22"/>
  <c r="E185" i="22"/>
  <c r="L184" i="22"/>
  <c r="K184" i="22"/>
  <c r="E184" i="22"/>
  <c r="L183" i="22"/>
  <c r="K183" i="22"/>
  <c r="E183" i="22"/>
  <c r="L182" i="22"/>
  <c r="K182" i="22"/>
  <c r="E182" i="22"/>
  <c r="L181" i="22"/>
  <c r="K181" i="22"/>
  <c r="E181" i="22"/>
  <c r="L180" i="22"/>
  <c r="K180" i="22"/>
  <c r="E180" i="22"/>
  <c r="L179" i="22"/>
  <c r="K179" i="22"/>
  <c r="E179" i="22"/>
  <c r="L176" i="22"/>
  <c r="K176" i="22"/>
  <c r="E176" i="22"/>
  <c r="L175" i="22"/>
  <c r="K175" i="22"/>
  <c r="E175" i="22"/>
  <c r="L174" i="22"/>
  <c r="K174" i="22"/>
  <c r="E174" i="22"/>
  <c r="L173" i="22"/>
  <c r="K173" i="22"/>
  <c r="E173" i="22"/>
  <c r="L172" i="22"/>
  <c r="K172" i="22"/>
  <c r="E172" i="22"/>
  <c r="L171" i="22"/>
  <c r="K171" i="22"/>
  <c r="E171" i="22"/>
  <c r="L170" i="22"/>
  <c r="K170" i="22"/>
  <c r="E170" i="22"/>
  <c r="L169" i="22"/>
  <c r="K169" i="22"/>
  <c r="E169" i="22"/>
  <c r="L168" i="22"/>
  <c r="E168" i="22"/>
  <c r="L167" i="22"/>
  <c r="K167" i="22"/>
  <c r="E167" i="22"/>
  <c r="L166" i="22"/>
  <c r="K166" i="22"/>
  <c r="E166" i="22"/>
  <c r="L165" i="22"/>
  <c r="K165" i="22"/>
  <c r="E165" i="22"/>
  <c r="L164" i="22"/>
  <c r="K164" i="22"/>
  <c r="E164" i="22"/>
  <c r="L163" i="22"/>
  <c r="K163" i="22"/>
  <c r="E163" i="22"/>
  <c r="L162" i="22"/>
  <c r="K162" i="22"/>
  <c r="E162" i="22"/>
  <c r="L161" i="22"/>
  <c r="K161" i="22"/>
  <c r="E161" i="22"/>
  <c r="L160" i="22"/>
  <c r="K160" i="22"/>
  <c r="E160" i="22"/>
  <c r="L159" i="22"/>
  <c r="K159" i="22"/>
  <c r="E159" i="22"/>
  <c r="L158" i="22"/>
  <c r="K158" i="22"/>
  <c r="E158" i="22"/>
  <c r="L157" i="22"/>
  <c r="K157" i="22"/>
  <c r="E157" i="22"/>
  <c r="L156" i="22"/>
  <c r="K156" i="22"/>
  <c r="E156" i="22"/>
  <c r="L155" i="22"/>
  <c r="K155" i="22"/>
  <c r="E155" i="22"/>
  <c r="L154" i="22"/>
  <c r="K154" i="22"/>
  <c r="E154" i="22"/>
  <c r="L153" i="22"/>
  <c r="K153" i="22"/>
  <c r="E153" i="22"/>
  <c r="L152" i="22"/>
  <c r="K152" i="22"/>
  <c r="E152" i="22"/>
  <c r="L151" i="22"/>
  <c r="K151" i="22"/>
  <c r="E151" i="22"/>
  <c r="L150" i="22"/>
  <c r="K150" i="22"/>
  <c r="E150" i="22"/>
  <c r="L149" i="22"/>
  <c r="K149" i="22"/>
  <c r="E149" i="22"/>
  <c r="L148" i="22"/>
  <c r="K148" i="22"/>
  <c r="E148" i="22"/>
  <c r="L147" i="22"/>
  <c r="K147" i="22"/>
  <c r="E147" i="22"/>
  <c r="L146" i="22"/>
  <c r="K146" i="22"/>
  <c r="E146" i="22"/>
  <c r="L145" i="22"/>
  <c r="K145" i="22"/>
  <c r="E145" i="22"/>
  <c r="L144" i="22"/>
  <c r="K144" i="22"/>
  <c r="E144" i="22"/>
  <c r="L143" i="22"/>
  <c r="K143" i="22"/>
  <c r="E143" i="22"/>
  <c r="L142" i="22"/>
  <c r="K142" i="22"/>
  <c r="E142" i="22"/>
  <c r="L141" i="22"/>
  <c r="K141" i="22"/>
  <c r="E141" i="22"/>
  <c r="L140" i="22"/>
  <c r="K140" i="22"/>
  <c r="E140" i="22"/>
  <c r="L139" i="22"/>
  <c r="K139" i="22"/>
  <c r="E139" i="22"/>
  <c r="L136" i="22"/>
  <c r="K136" i="22"/>
  <c r="E136" i="22"/>
  <c r="L135" i="22"/>
  <c r="K135" i="22"/>
  <c r="E135" i="22"/>
  <c r="L134" i="22"/>
  <c r="K134" i="22"/>
  <c r="E134" i="22"/>
  <c r="L133" i="22"/>
  <c r="K133" i="22"/>
  <c r="E133" i="22"/>
  <c r="L132" i="22"/>
  <c r="K132" i="22"/>
  <c r="E132" i="22"/>
  <c r="L131" i="22"/>
  <c r="K131" i="22"/>
  <c r="E131" i="22"/>
  <c r="L130" i="22"/>
  <c r="E130" i="22"/>
  <c r="L129" i="22"/>
  <c r="E129" i="22"/>
  <c r="L128" i="22"/>
  <c r="K128" i="22"/>
  <c r="E128" i="22"/>
  <c r="L127" i="22"/>
  <c r="K127" i="22"/>
  <c r="E127" i="22"/>
  <c r="L126" i="22"/>
  <c r="K126" i="22"/>
  <c r="E126" i="22"/>
  <c r="L125" i="22"/>
  <c r="K125" i="22"/>
  <c r="E125" i="22"/>
  <c r="L124" i="22"/>
  <c r="K124" i="22"/>
  <c r="E124" i="22"/>
  <c r="L123" i="22"/>
  <c r="K123" i="22"/>
  <c r="E123" i="22"/>
  <c r="L122" i="22"/>
  <c r="K122" i="22"/>
  <c r="E122" i="22"/>
  <c r="L121" i="22"/>
  <c r="K121" i="22"/>
  <c r="E121" i="22"/>
  <c r="L120" i="22"/>
  <c r="K120" i="22"/>
  <c r="E120" i="22"/>
  <c r="L119" i="22"/>
  <c r="K119" i="22"/>
  <c r="E119" i="22"/>
  <c r="L118" i="22"/>
  <c r="K118" i="22"/>
  <c r="E118" i="22"/>
  <c r="L117" i="22"/>
  <c r="K117" i="22"/>
  <c r="E117" i="22"/>
  <c r="L116" i="22"/>
  <c r="K116" i="22"/>
  <c r="E116" i="22"/>
  <c r="L115" i="22"/>
  <c r="K115" i="22"/>
  <c r="E115" i="22"/>
  <c r="L114" i="22"/>
  <c r="K114" i="22"/>
  <c r="E114" i="22"/>
  <c r="L113" i="22"/>
  <c r="K113" i="22"/>
  <c r="E113" i="22"/>
  <c r="L112" i="22"/>
  <c r="K112" i="22"/>
  <c r="E112" i="22"/>
  <c r="L111" i="22"/>
  <c r="K111" i="22"/>
  <c r="E111" i="22"/>
  <c r="L110" i="22"/>
  <c r="E110" i="22"/>
  <c r="L109" i="22"/>
  <c r="K109" i="22"/>
  <c r="E109" i="22"/>
  <c r="L108" i="22"/>
  <c r="K108" i="22"/>
  <c r="E108" i="22"/>
  <c r="L107" i="22"/>
  <c r="K107" i="22"/>
  <c r="E107" i="22"/>
  <c r="L106" i="22"/>
  <c r="K106" i="22"/>
  <c r="E106" i="22"/>
  <c r="L105" i="22"/>
  <c r="K105" i="22"/>
  <c r="E105" i="22"/>
  <c r="L102" i="22"/>
  <c r="K102" i="22"/>
  <c r="E102" i="22"/>
  <c r="L101" i="22"/>
  <c r="K101" i="22"/>
  <c r="E101" i="22"/>
  <c r="L100" i="22"/>
  <c r="K100" i="22"/>
  <c r="E100" i="22"/>
  <c r="L99" i="22"/>
  <c r="K99" i="22"/>
  <c r="E99" i="22"/>
  <c r="L98" i="22"/>
  <c r="K98" i="22"/>
  <c r="E98" i="22"/>
  <c r="L97" i="22"/>
  <c r="K97" i="22"/>
  <c r="E97" i="22"/>
  <c r="L96" i="22"/>
  <c r="K96" i="22"/>
  <c r="E96" i="22"/>
  <c r="L95" i="22"/>
  <c r="K95" i="22"/>
  <c r="E95" i="22"/>
  <c r="L94" i="22"/>
  <c r="K94" i="22"/>
  <c r="E94" i="22"/>
  <c r="L93" i="22"/>
  <c r="K93" i="22"/>
  <c r="E93" i="22"/>
  <c r="L92" i="22"/>
  <c r="K92" i="22"/>
  <c r="E92" i="22"/>
  <c r="L91" i="22"/>
  <c r="K91" i="22"/>
  <c r="E91" i="22"/>
  <c r="L90" i="22"/>
  <c r="K90" i="22"/>
  <c r="E90" i="22"/>
  <c r="L89" i="22"/>
  <c r="K89" i="22"/>
  <c r="E89" i="22"/>
  <c r="L88" i="22"/>
  <c r="K88" i="22"/>
  <c r="E88" i="22"/>
  <c r="L87" i="22"/>
  <c r="K87" i="22"/>
  <c r="E87" i="22"/>
  <c r="L86" i="22"/>
  <c r="K86" i="22"/>
  <c r="E86" i="22"/>
  <c r="L85" i="22"/>
  <c r="K85" i="22"/>
  <c r="E85" i="22"/>
  <c r="L82" i="22"/>
  <c r="K82" i="22"/>
  <c r="E82" i="22"/>
  <c r="L81" i="22"/>
  <c r="K81" i="22"/>
  <c r="E81" i="22"/>
  <c r="L80" i="22"/>
  <c r="E80" i="22"/>
  <c r="L79" i="22"/>
  <c r="K79" i="22"/>
  <c r="E79" i="22"/>
  <c r="L78" i="22"/>
  <c r="K78" i="22"/>
  <c r="E78" i="22"/>
  <c r="L77" i="22"/>
  <c r="K77" i="22"/>
  <c r="E77" i="22"/>
  <c r="L76" i="22"/>
  <c r="K76" i="22"/>
  <c r="E76" i="22"/>
  <c r="L73" i="22"/>
  <c r="K73" i="22"/>
  <c r="E73" i="22"/>
  <c r="L72" i="22"/>
  <c r="K72" i="22"/>
  <c r="E72" i="22"/>
  <c r="L71" i="22"/>
  <c r="K71" i="22"/>
  <c r="E71" i="22"/>
  <c r="L70" i="22"/>
  <c r="K70" i="22"/>
  <c r="E70" i="22"/>
  <c r="L67" i="22"/>
  <c r="K67" i="22"/>
  <c r="E67" i="22"/>
  <c r="L66" i="22"/>
  <c r="K66" i="22"/>
  <c r="E66" i="22"/>
  <c r="L65" i="22"/>
  <c r="K65" i="22"/>
  <c r="E65" i="22"/>
  <c r="L62" i="22"/>
  <c r="K62" i="22"/>
  <c r="E62" i="22"/>
  <c r="L59" i="22"/>
  <c r="K59" i="22"/>
  <c r="E59" i="22"/>
  <c r="L58" i="22"/>
  <c r="K58" i="22"/>
  <c r="E58" i="22"/>
  <c r="L57" i="22"/>
  <c r="K57" i="22"/>
  <c r="E57" i="22"/>
  <c r="L54" i="22"/>
  <c r="K54" i="22"/>
  <c r="E54" i="22"/>
  <c r="L53" i="22"/>
  <c r="K53" i="22"/>
  <c r="E53" i="22"/>
  <c r="L52" i="22"/>
  <c r="K52" i="22"/>
  <c r="E52" i="22"/>
  <c r="L51" i="22"/>
  <c r="K51" i="22"/>
  <c r="E51" i="22"/>
  <c r="L50" i="22"/>
  <c r="K50" i="22"/>
  <c r="E50" i="22"/>
  <c r="L49" i="22"/>
  <c r="K49" i="22"/>
  <c r="E49" i="22"/>
  <c r="L48" i="22"/>
  <c r="K48" i="22"/>
  <c r="E48" i="22"/>
  <c r="L47" i="22"/>
  <c r="K47" i="22"/>
  <c r="E47" i="22"/>
  <c r="L46" i="22"/>
  <c r="K46" i="22"/>
  <c r="E46" i="22"/>
  <c r="L43" i="22"/>
  <c r="E43" i="22"/>
  <c r="L42" i="22"/>
  <c r="E42" i="22"/>
  <c r="L41" i="22"/>
  <c r="K41" i="22"/>
  <c r="E41" i="22"/>
  <c r="L40" i="22"/>
  <c r="K40" i="22"/>
  <c r="E40" i="22"/>
  <c r="L39" i="22"/>
  <c r="K39" i="22"/>
  <c r="E39" i="22"/>
  <c r="L38" i="22"/>
  <c r="K38" i="22"/>
  <c r="E38" i="22"/>
  <c r="L37" i="22"/>
  <c r="K37" i="22"/>
  <c r="E37" i="22"/>
  <c r="L34" i="22"/>
  <c r="K34" i="22"/>
  <c r="E34" i="22"/>
  <c r="L33" i="22"/>
  <c r="E33" i="22"/>
  <c r="L32" i="22"/>
  <c r="K32" i="22"/>
  <c r="E32" i="22"/>
  <c r="L31" i="22"/>
  <c r="K31" i="22"/>
  <c r="E31" i="22"/>
  <c r="L30" i="22"/>
  <c r="K30" i="22"/>
  <c r="E30" i="22"/>
  <c r="L29" i="22"/>
  <c r="K29" i="22"/>
  <c r="E29" i="22"/>
  <c r="L28" i="22"/>
  <c r="K28" i="22"/>
  <c r="E28" i="22"/>
  <c r="L27" i="22"/>
  <c r="K27" i="22"/>
  <c r="E27" i="22"/>
  <c r="L26" i="22"/>
  <c r="K26" i="22"/>
  <c r="E26" i="22"/>
  <c r="L25" i="22"/>
  <c r="K25" i="22"/>
  <c r="E25" i="22"/>
  <c r="L22" i="22"/>
  <c r="K22" i="22"/>
  <c r="E22" i="22"/>
  <c r="L21" i="22"/>
  <c r="K21" i="22"/>
  <c r="E21" i="22"/>
  <c r="L20" i="22"/>
  <c r="K20" i="22"/>
  <c r="E20" i="22"/>
  <c r="L19" i="22"/>
  <c r="K19" i="22"/>
  <c r="E19" i="22"/>
  <c r="L18" i="22"/>
  <c r="K18" i="22"/>
  <c r="E18" i="22"/>
  <c r="L15" i="22"/>
  <c r="K15" i="22"/>
  <c r="E15" i="22"/>
  <c r="L14" i="22"/>
  <c r="K14" i="22"/>
  <c r="E14" i="22"/>
  <c r="L13" i="22"/>
  <c r="K13" i="22"/>
  <c r="E13" i="22"/>
  <c r="L12" i="22"/>
  <c r="K12" i="22"/>
  <c r="E12" i="22"/>
  <c r="L11" i="22"/>
  <c r="K11" i="22"/>
  <c r="E11" i="22"/>
  <c r="L10" i="22"/>
  <c r="K10" i="22"/>
  <c r="E10" i="22"/>
  <c r="L9" i="22"/>
  <c r="K9" i="22"/>
  <c r="E9" i="22"/>
  <c r="L6" i="22"/>
  <c r="K6" i="22"/>
  <c r="E6" i="22"/>
  <c r="L244" i="21"/>
  <c r="E244" i="21"/>
  <c r="L243" i="21"/>
  <c r="K243" i="21"/>
  <c r="E243" i="21"/>
  <c r="L240" i="21"/>
  <c r="K240" i="21"/>
  <c r="E240" i="21"/>
  <c r="L239" i="21"/>
  <c r="K239" i="21"/>
  <c r="E239" i="21"/>
  <c r="L238" i="21"/>
  <c r="K238" i="21"/>
  <c r="E238" i="21"/>
  <c r="L237" i="21"/>
  <c r="K237" i="21"/>
  <c r="E237" i="21"/>
  <c r="L236" i="21"/>
  <c r="K236" i="21"/>
  <c r="E236" i="21"/>
  <c r="L235" i="21"/>
  <c r="K235" i="21"/>
  <c r="E235" i="21"/>
  <c r="L234" i="21"/>
  <c r="K234" i="21"/>
  <c r="E234" i="21"/>
  <c r="L233" i="21"/>
  <c r="K233" i="21"/>
  <c r="E233" i="21"/>
  <c r="L232" i="21"/>
  <c r="K232" i="21"/>
  <c r="E232" i="21"/>
  <c r="L229" i="21"/>
  <c r="K229" i="21"/>
  <c r="E229" i="21"/>
  <c r="L228" i="21"/>
  <c r="K228" i="21"/>
  <c r="E228" i="21"/>
  <c r="L227" i="21"/>
  <c r="K227" i="21"/>
  <c r="E227" i="21"/>
  <c r="L226" i="21"/>
  <c r="E226" i="21"/>
  <c r="L225" i="21"/>
  <c r="K225" i="21"/>
  <c r="E225" i="21"/>
  <c r="L224" i="21"/>
  <c r="K224" i="21"/>
  <c r="E224" i="21"/>
  <c r="L223" i="21"/>
  <c r="E223" i="21"/>
  <c r="L222" i="21"/>
  <c r="E222" i="21"/>
  <c r="L221" i="21"/>
  <c r="E221" i="21"/>
  <c r="L220" i="21"/>
  <c r="E220" i="21"/>
  <c r="L219" i="21"/>
  <c r="E219" i="21"/>
  <c r="L218" i="21"/>
  <c r="K218" i="21"/>
  <c r="E218" i="21"/>
  <c r="L217" i="21"/>
  <c r="K217" i="21"/>
  <c r="E217" i="21"/>
  <c r="L216" i="21"/>
  <c r="K216" i="21"/>
  <c r="E216" i="21"/>
  <c r="L215" i="21"/>
  <c r="E215" i="21"/>
  <c r="L214" i="21"/>
  <c r="K214" i="21"/>
  <c r="E214" i="21"/>
  <c r="L213" i="21"/>
  <c r="K213" i="21"/>
  <c r="E213" i="21"/>
  <c r="L212" i="21"/>
  <c r="K212" i="21"/>
  <c r="E212" i="21"/>
  <c r="L211" i="21"/>
  <c r="K211" i="21"/>
  <c r="E211" i="21"/>
  <c r="L210" i="21"/>
  <c r="K210" i="21"/>
  <c r="E210" i="21"/>
  <c r="L209" i="21"/>
  <c r="K209" i="21"/>
  <c r="E209" i="21"/>
  <c r="L208" i="21"/>
  <c r="E208" i="21"/>
  <c r="L207" i="21"/>
  <c r="K207" i="21"/>
  <c r="E207" i="21"/>
  <c r="L206" i="21"/>
  <c r="K206" i="21"/>
  <c r="E206" i="21"/>
  <c r="L203" i="21"/>
  <c r="K203" i="21"/>
  <c r="E203" i="21"/>
  <c r="L202" i="21"/>
  <c r="K202" i="21"/>
  <c r="E202" i="21"/>
  <c r="L201" i="21"/>
  <c r="K201" i="21"/>
  <c r="E201" i="21"/>
  <c r="L200" i="21"/>
  <c r="K200" i="21"/>
  <c r="E200" i="21"/>
  <c r="L199" i="21"/>
  <c r="K199" i="21"/>
  <c r="E199" i="21"/>
  <c r="L198" i="21"/>
  <c r="K198" i="21"/>
  <c r="E198" i="21"/>
  <c r="L197" i="21"/>
  <c r="K197" i="21"/>
  <c r="E197" i="21"/>
  <c r="L196" i="21"/>
  <c r="K196" i="21"/>
  <c r="E196" i="21"/>
  <c r="L195" i="21"/>
  <c r="K195" i="21"/>
  <c r="E195" i="21"/>
  <c r="L194" i="21"/>
  <c r="K194" i="21"/>
  <c r="E194" i="21"/>
  <c r="L193" i="21"/>
  <c r="K193" i="21"/>
  <c r="E193" i="21"/>
  <c r="L192" i="21"/>
  <c r="K192" i="21"/>
  <c r="E192" i="21"/>
  <c r="L191" i="21"/>
  <c r="K191" i="21"/>
  <c r="E191" i="21"/>
  <c r="L190" i="21"/>
  <c r="K190" i="21"/>
  <c r="E190" i="21"/>
  <c r="L189" i="21"/>
  <c r="K189" i="21"/>
  <c r="E189" i="21"/>
  <c r="L188" i="21"/>
  <c r="K188" i="21"/>
  <c r="E188" i="21"/>
  <c r="L187" i="21"/>
  <c r="K187" i="21"/>
  <c r="E187" i="21"/>
  <c r="L186" i="21"/>
  <c r="K186" i="21"/>
  <c r="E186" i="21"/>
  <c r="L185" i="21"/>
  <c r="K185" i="21"/>
  <c r="E185" i="21"/>
  <c r="L184" i="21"/>
  <c r="K184" i="21"/>
  <c r="E184" i="21"/>
  <c r="L183" i="21"/>
  <c r="E183" i="21"/>
  <c r="L182" i="21"/>
  <c r="E182" i="21"/>
  <c r="L181" i="21"/>
  <c r="E181" i="21"/>
  <c r="L180" i="21"/>
  <c r="K180" i="21"/>
  <c r="E180" i="21"/>
  <c r="L179" i="21"/>
  <c r="K179" i="21"/>
  <c r="E179" i="21"/>
  <c r="L178" i="21"/>
  <c r="K178" i="21"/>
  <c r="E178" i="21"/>
  <c r="L177" i="21"/>
  <c r="K177" i="21"/>
  <c r="E177" i="21"/>
  <c r="L176" i="21"/>
  <c r="K176" i="21"/>
  <c r="E176" i="21"/>
  <c r="L175" i="21"/>
  <c r="K175" i="21"/>
  <c r="E175" i="21"/>
  <c r="L174" i="21"/>
  <c r="K174" i="21"/>
  <c r="E174" i="21"/>
  <c r="L173" i="21"/>
  <c r="K173" i="21"/>
  <c r="E173" i="21"/>
  <c r="L172" i="21"/>
  <c r="K172" i="21"/>
  <c r="E172" i="21"/>
  <c r="L171" i="21"/>
  <c r="K171" i="21"/>
  <c r="E171" i="21"/>
  <c r="L170" i="21"/>
  <c r="K170" i="21"/>
  <c r="E170" i="21"/>
  <c r="L169" i="21"/>
  <c r="K169" i="21"/>
  <c r="E169" i="21"/>
  <c r="L168" i="21"/>
  <c r="K168" i="21"/>
  <c r="E168" i="21"/>
  <c r="L167" i="21"/>
  <c r="K167" i="21"/>
  <c r="E167" i="21"/>
  <c r="L166" i="21"/>
  <c r="K166" i="21"/>
  <c r="E166" i="21"/>
  <c r="L165" i="21"/>
  <c r="K165" i="21"/>
  <c r="E165" i="21"/>
  <c r="L164" i="21"/>
  <c r="K164" i="21"/>
  <c r="E164" i="21"/>
  <c r="L163" i="21"/>
  <c r="K163" i="21"/>
  <c r="E163" i="21"/>
  <c r="L162" i="21"/>
  <c r="K162" i="21"/>
  <c r="E162" i="21"/>
  <c r="L161" i="21"/>
  <c r="K161" i="21"/>
  <c r="E161" i="21"/>
  <c r="L160" i="21"/>
  <c r="K160" i="21"/>
  <c r="E160" i="21"/>
  <c r="L159" i="21"/>
  <c r="K159" i="21"/>
  <c r="E159" i="21"/>
  <c r="L156" i="21"/>
  <c r="K156" i="21"/>
  <c r="E156" i="21"/>
  <c r="L155" i="21"/>
  <c r="K155" i="21"/>
  <c r="E155" i="21"/>
  <c r="L154" i="21"/>
  <c r="K154" i="21"/>
  <c r="E154" i="21"/>
  <c r="L153" i="21"/>
  <c r="K153" i="21"/>
  <c r="E153" i="21"/>
  <c r="L152" i="21"/>
  <c r="K152" i="21"/>
  <c r="E152" i="21"/>
  <c r="L151" i="21"/>
  <c r="K151" i="21"/>
  <c r="E151" i="21"/>
  <c r="L150" i="21"/>
  <c r="E150" i="21"/>
  <c r="L149" i="21"/>
  <c r="E149" i="21"/>
  <c r="L148" i="21"/>
  <c r="K148" i="21"/>
  <c r="E148" i="21"/>
  <c r="L147" i="21"/>
  <c r="K147" i="21"/>
  <c r="E147" i="21"/>
  <c r="L146" i="21"/>
  <c r="K146" i="21"/>
  <c r="E146" i="21"/>
  <c r="L145" i="21"/>
  <c r="K145" i="21"/>
  <c r="E145" i="21"/>
  <c r="L144" i="21"/>
  <c r="K144" i="21"/>
  <c r="E144" i="21"/>
  <c r="L143" i="21"/>
  <c r="K143" i="21"/>
  <c r="E143" i="21"/>
  <c r="L142" i="21"/>
  <c r="K142" i="21"/>
  <c r="E142" i="21"/>
  <c r="E137" i="21"/>
  <c r="L141" i="21"/>
  <c r="E141" i="21"/>
  <c r="L140" i="21"/>
  <c r="E140" i="21"/>
  <c r="L139" i="21"/>
  <c r="K139" i="21"/>
  <c r="E139" i="21"/>
  <c r="L138" i="21"/>
  <c r="K138" i="21"/>
  <c r="E138" i="21"/>
  <c r="L136" i="21"/>
  <c r="K136" i="21"/>
  <c r="E136" i="21"/>
  <c r="L135" i="21"/>
  <c r="K135" i="21"/>
  <c r="E135" i="21"/>
  <c r="L134" i="21"/>
  <c r="K134" i="21"/>
  <c r="E134" i="21"/>
  <c r="L133" i="21"/>
  <c r="K133" i="21"/>
  <c r="E133" i="21"/>
  <c r="L132" i="21"/>
  <c r="K132" i="21"/>
  <c r="E132" i="21"/>
  <c r="L131" i="21"/>
  <c r="K131" i="21"/>
  <c r="E131" i="21"/>
  <c r="L130" i="21"/>
  <c r="K130" i="21"/>
  <c r="E130" i="21"/>
  <c r="L129" i="21"/>
  <c r="K129" i="21"/>
  <c r="E129" i="21"/>
  <c r="L128" i="21"/>
  <c r="K128" i="21"/>
  <c r="E128" i="21"/>
  <c r="L127" i="21"/>
  <c r="K127" i="21"/>
  <c r="E127" i="21"/>
  <c r="L126" i="21"/>
  <c r="K126" i="21"/>
  <c r="E126" i="21"/>
  <c r="L125" i="21"/>
  <c r="K125" i="21"/>
  <c r="E125" i="21"/>
  <c r="L124" i="21"/>
  <c r="K124" i="21"/>
  <c r="E124" i="21"/>
  <c r="L123" i="21"/>
  <c r="K123" i="21"/>
  <c r="E123" i="21"/>
  <c r="L122" i="21"/>
  <c r="K122" i="21"/>
  <c r="E122" i="21"/>
  <c r="L121" i="21"/>
  <c r="K121" i="21"/>
  <c r="E121" i="21"/>
  <c r="L120" i="21"/>
  <c r="K120" i="21"/>
  <c r="E120" i="21"/>
  <c r="L119" i="21"/>
  <c r="K119" i="21"/>
  <c r="E119" i="21"/>
  <c r="L118" i="21"/>
  <c r="K118" i="21"/>
  <c r="E118" i="21"/>
  <c r="L117" i="21"/>
  <c r="K117" i="21"/>
  <c r="E117" i="21"/>
  <c r="L116" i="21"/>
  <c r="K116" i="21"/>
  <c r="E116" i="21"/>
  <c r="L115" i="21"/>
  <c r="K115" i="21"/>
  <c r="E115" i="21"/>
  <c r="L114" i="21"/>
  <c r="E114" i="21"/>
  <c r="L111" i="21"/>
  <c r="K111" i="21"/>
  <c r="E111" i="21"/>
  <c r="L110" i="21"/>
  <c r="E110" i="21"/>
  <c r="L109" i="21"/>
  <c r="K109" i="21"/>
  <c r="E109" i="21"/>
  <c r="L108" i="21"/>
  <c r="K108" i="21"/>
  <c r="E108" i="21"/>
  <c r="L107" i="21"/>
  <c r="K107" i="21"/>
  <c r="E107" i="21"/>
  <c r="L106" i="21"/>
  <c r="K106" i="21"/>
  <c r="E106" i="21"/>
  <c r="L105" i="21"/>
  <c r="K105" i="21"/>
  <c r="E105" i="21"/>
  <c r="L104" i="21"/>
  <c r="E104" i="21"/>
  <c r="L103" i="21"/>
  <c r="K103" i="21"/>
  <c r="E103" i="21"/>
  <c r="L102" i="21"/>
  <c r="K102" i="21"/>
  <c r="E102" i="21"/>
  <c r="L101" i="21"/>
  <c r="E101" i="21"/>
  <c r="L100" i="21"/>
  <c r="K100" i="21"/>
  <c r="E100" i="21"/>
  <c r="L99" i="21"/>
  <c r="K99" i="21"/>
  <c r="E99" i="21"/>
  <c r="L98" i="21"/>
  <c r="K98" i="21"/>
  <c r="E98" i="21"/>
  <c r="L97" i="21"/>
  <c r="K97" i="21"/>
  <c r="E97" i="21"/>
  <c r="L96" i="21"/>
  <c r="K96" i="21"/>
  <c r="E96" i="21"/>
  <c r="L95" i="21"/>
  <c r="K95" i="21"/>
  <c r="E95" i="21"/>
  <c r="L94" i="21"/>
  <c r="K94" i="21"/>
  <c r="E94" i="21"/>
  <c r="L93" i="21"/>
  <c r="K93" i="21"/>
  <c r="E93" i="21"/>
  <c r="L92" i="21"/>
  <c r="K92" i="21"/>
  <c r="E92" i="21"/>
  <c r="L91" i="21"/>
  <c r="K91" i="21"/>
  <c r="E91" i="21"/>
  <c r="L88" i="21"/>
  <c r="K88" i="21"/>
  <c r="E88" i="21"/>
  <c r="L87" i="21"/>
  <c r="K87" i="21"/>
  <c r="E87" i="21"/>
  <c r="L86" i="21"/>
  <c r="K86" i="21"/>
  <c r="E86" i="21"/>
  <c r="L85" i="21"/>
  <c r="K85" i="21"/>
  <c r="E85" i="21"/>
  <c r="L84" i="21"/>
  <c r="K84" i="21"/>
  <c r="E84" i="21"/>
  <c r="L83" i="21"/>
  <c r="K83" i="21"/>
  <c r="E83" i="21"/>
  <c r="L82" i="21"/>
  <c r="K82" i="21"/>
  <c r="E82" i="21"/>
  <c r="L81" i="21"/>
  <c r="E81" i="21"/>
  <c r="L80" i="21"/>
  <c r="E80" i="21"/>
  <c r="L79" i="21"/>
  <c r="E79" i="21"/>
  <c r="L78" i="21"/>
  <c r="K78" i="21"/>
  <c r="E78" i="21"/>
  <c r="L77" i="21"/>
  <c r="K77" i="21"/>
  <c r="E77" i="21"/>
  <c r="L76" i="21"/>
  <c r="K76" i="21"/>
  <c r="E76" i="21"/>
  <c r="L75" i="21"/>
  <c r="K75" i="21"/>
  <c r="E75" i="21"/>
  <c r="L74" i="21"/>
  <c r="K74" i="21"/>
  <c r="E74" i="21"/>
  <c r="L73" i="21"/>
  <c r="K73" i="21"/>
  <c r="E73" i="21"/>
  <c r="L72" i="21"/>
  <c r="K72" i="21"/>
  <c r="E72" i="21"/>
  <c r="L71" i="21"/>
  <c r="K71" i="21"/>
  <c r="E71" i="21"/>
  <c r="L68" i="21"/>
  <c r="K68" i="21"/>
  <c r="E68" i="21"/>
  <c r="L67" i="21"/>
  <c r="K67" i="21"/>
  <c r="E67" i="21"/>
  <c r="L66" i="21"/>
  <c r="K66" i="21"/>
  <c r="E66" i="21"/>
  <c r="L65" i="21"/>
  <c r="K65" i="21"/>
  <c r="E65" i="21"/>
  <c r="L64" i="21"/>
  <c r="K64" i="21"/>
  <c r="E64" i="21"/>
  <c r="L63" i="21"/>
  <c r="K63" i="21"/>
  <c r="E63" i="21"/>
  <c r="L62" i="21"/>
  <c r="K62" i="21"/>
  <c r="E62" i="21"/>
  <c r="L61" i="21"/>
  <c r="K61" i="21"/>
  <c r="E61" i="21"/>
  <c r="L60" i="21"/>
  <c r="K60" i="21"/>
  <c r="E60" i="21"/>
  <c r="L59" i="21"/>
  <c r="K59" i="21"/>
  <c r="E59" i="21"/>
  <c r="L58" i="21"/>
  <c r="K58" i="21"/>
  <c r="E58" i="21"/>
  <c r="L57" i="21"/>
  <c r="K57" i="21"/>
  <c r="E57" i="21"/>
  <c r="L56" i="21"/>
  <c r="K56" i="21"/>
  <c r="E56" i="21"/>
  <c r="L55" i="21"/>
  <c r="K55" i="21"/>
  <c r="E55" i="21"/>
  <c r="L54" i="21"/>
  <c r="K54" i="21"/>
  <c r="E54" i="21"/>
  <c r="L53" i="21"/>
  <c r="K53" i="21"/>
  <c r="E53" i="21"/>
  <c r="L52" i="21"/>
  <c r="K52" i="21"/>
  <c r="E52" i="21"/>
  <c r="L51" i="21"/>
  <c r="K51" i="21"/>
  <c r="E51" i="21"/>
  <c r="L50" i="21"/>
  <c r="K50" i="21"/>
  <c r="E50" i="21"/>
  <c r="L47" i="21"/>
  <c r="K47" i="21"/>
  <c r="E47" i="21"/>
  <c r="L46" i="21"/>
  <c r="K46" i="21"/>
  <c r="E46" i="21"/>
  <c r="L45" i="21"/>
  <c r="K45" i="21"/>
  <c r="E45" i="21"/>
  <c r="L44" i="21"/>
  <c r="K44" i="21"/>
  <c r="E44" i="21"/>
  <c r="L43" i="21"/>
  <c r="K43" i="21"/>
  <c r="E43" i="21"/>
  <c r="L40" i="21"/>
  <c r="K40" i="21"/>
  <c r="E40" i="21"/>
  <c r="L39" i="21"/>
  <c r="K39" i="21"/>
  <c r="E39" i="21"/>
  <c r="L38" i="21"/>
  <c r="K38" i="21"/>
  <c r="E38" i="21"/>
  <c r="L35" i="21"/>
  <c r="K35" i="21"/>
  <c r="E35" i="21"/>
  <c r="L34" i="21"/>
  <c r="K34" i="21"/>
  <c r="E34" i="21"/>
  <c r="L31" i="21"/>
  <c r="K31" i="21"/>
  <c r="E31" i="21"/>
  <c r="L28" i="21"/>
  <c r="K28" i="21"/>
  <c r="E28" i="21"/>
  <c r="L27" i="21"/>
  <c r="K27" i="21"/>
  <c r="E27" i="21"/>
  <c r="L24" i="21"/>
  <c r="K24" i="21"/>
  <c r="E24" i="21"/>
  <c r="L23" i="21"/>
  <c r="K23" i="21"/>
  <c r="E23" i="21"/>
  <c r="L20" i="21"/>
  <c r="K20" i="21"/>
  <c r="E20" i="21"/>
  <c r="L19" i="21"/>
  <c r="K19" i="21"/>
  <c r="E19" i="21"/>
  <c r="L16" i="21"/>
  <c r="K16" i="21"/>
  <c r="E16" i="21"/>
  <c r="L15" i="21"/>
  <c r="K15" i="21"/>
  <c r="E15" i="21"/>
  <c r="L12" i="21"/>
  <c r="K12" i="21"/>
  <c r="E12" i="21"/>
  <c r="L9" i="21"/>
  <c r="K9" i="21"/>
  <c r="E9" i="21"/>
  <c r="L6" i="21"/>
  <c r="K6" i="21"/>
  <c r="E6" i="21"/>
  <c r="L61" i="20"/>
  <c r="K61" i="20"/>
  <c r="E61" i="20"/>
  <c r="L60" i="20"/>
  <c r="K60" i="20"/>
  <c r="E60" i="20"/>
  <c r="L59" i="20"/>
  <c r="K59" i="20"/>
  <c r="E59" i="20"/>
  <c r="L58" i="20"/>
  <c r="K58" i="20"/>
  <c r="E58" i="20"/>
  <c r="L57" i="20"/>
  <c r="K57" i="20"/>
  <c r="E57" i="20"/>
  <c r="L54" i="20"/>
  <c r="K54" i="20"/>
  <c r="E54" i="20"/>
  <c r="L53" i="20"/>
  <c r="K53" i="20"/>
  <c r="E53" i="20"/>
  <c r="L52" i="20"/>
  <c r="K52" i="20"/>
  <c r="E52" i="20"/>
  <c r="L51" i="20"/>
  <c r="K51" i="20"/>
  <c r="E51" i="20"/>
  <c r="L50" i="20"/>
  <c r="K50" i="20"/>
  <c r="E50" i="20"/>
  <c r="L47" i="20"/>
  <c r="K47" i="20"/>
  <c r="E47" i="20"/>
  <c r="L46" i="20"/>
  <c r="K46" i="20"/>
  <c r="E46" i="20"/>
  <c r="L45" i="20"/>
  <c r="K45" i="20"/>
  <c r="E45" i="20"/>
  <c r="L44" i="20"/>
  <c r="K44" i="20"/>
  <c r="E44" i="20"/>
  <c r="L43" i="20"/>
  <c r="K43" i="20"/>
  <c r="E43" i="20"/>
  <c r="L42" i="20"/>
  <c r="K42" i="20"/>
  <c r="E42" i="20"/>
  <c r="L41" i="20"/>
  <c r="K41" i="20"/>
  <c r="E41" i="20"/>
  <c r="L40" i="20"/>
  <c r="K40" i="20"/>
  <c r="E40" i="20"/>
  <c r="L39" i="20"/>
  <c r="K39" i="20"/>
  <c r="E39" i="20"/>
  <c r="L36" i="20"/>
  <c r="K36" i="20"/>
  <c r="E36" i="20"/>
  <c r="L35" i="20"/>
  <c r="K35" i="20"/>
  <c r="E35" i="20"/>
  <c r="L34" i="20"/>
  <c r="K34" i="20"/>
  <c r="E34" i="20"/>
  <c r="L33" i="20"/>
  <c r="K33" i="20"/>
  <c r="E33" i="20"/>
  <c r="L32" i="20"/>
  <c r="E32" i="20"/>
  <c r="L31" i="20"/>
  <c r="E31" i="20"/>
  <c r="L30" i="20"/>
  <c r="K30" i="20"/>
  <c r="E30" i="20"/>
  <c r="L29" i="20"/>
  <c r="K29" i="20"/>
  <c r="E29" i="20"/>
  <c r="L28" i="20"/>
  <c r="K28" i="20"/>
  <c r="E28" i="20"/>
  <c r="L27" i="20"/>
  <c r="K27" i="20"/>
  <c r="E27" i="20"/>
  <c r="L26" i="20"/>
  <c r="K26" i="20"/>
  <c r="E26" i="20"/>
  <c r="L23" i="20"/>
  <c r="K23" i="20"/>
  <c r="E23" i="20"/>
  <c r="L22" i="20"/>
  <c r="K22" i="20"/>
  <c r="E22" i="20"/>
  <c r="L21" i="20"/>
  <c r="K21" i="20"/>
  <c r="E21" i="20"/>
  <c r="L20" i="20"/>
  <c r="K20" i="20"/>
  <c r="E20" i="20"/>
  <c r="L17" i="20"/>
  <c r="K17" i="20"/>
  <c r="E17" i="20"/>
  <c r="L16" i="20"/>
  <c r="K16" i="20"/>
  <c r="E16" i="20"/>
  <c r="L15" i="20"/>
  <c r="K15" i="20"/>
  <c r="E15" i="20"/>
  <c r="L14" i="20"/>
  <c r="K14" i="20"/>
  <c r="E14" i="20"/>
  <c r="L13" i="20"/>
  <c r="K13" i="20"/>
  <c r="E13" i="20"/>
  <c r="L12" i="20"/>
  <c r="K12" i="20"/>
  <c r="E12" i="20"/>
  <c r="L9" i="20"/>
  <c r="K9" i="20"/>
  <c r="E9" i="20"/>
  <c r="L6" i="20"/>
  <c r="K6" i="20"/>
  <c r="E6" i="20"/>
  <c r="T9" i="19"/>
  <c r="E9" i="19"/>
  <c r="T6" i="19"/>
  <c r="S6" i="19"/>
  <c r="E6" i="19"/>
  <c r="T9" i="18"/>
  <c r="S9" i="18"/>
  <c r="E9" i="18"/>
  <c r="T6" i="18"/>
  <c r="S6" i="18"/>
  <c r="E6" i="18"/>
  <c r="T230" i="17"/>
  <c r="S230" i="17"/>
  <c r="E230" i="17"/>
  <c r="T229" i="17"/>
  <c r="S229" i="17"/>
  <c r="E229" i="17"/>
  <c r="T226" i="17"/>
  <c r="S226" i="17"/>
  <c r="E226" i="17"/>
  <c r="T225" i="17"/>
  <c r="S225" i="17"/>
  <c r="E225" i="17"/>
  <c r="T224" i="17"/>
  <c r="S224" i="17"/>
  <c r="E224" i="17"/>
  <c r="T223" i="17"/>
  <c r="S223" i="17"/>
  <c r="E223" i="17"/>
  <c r="T222" i="17"/>
  <c r="S222" i="17"/>
  <c r="E222" i="17"/>
  <c r="T219" i="17"/>
  <c r="S219" i="17"/>
  <c r="E219" i="17"/>
  <c r="T218" i="17"/>
  <c r="S218" i="17"/>
  <c r="E218" i="17"/>
  <c r="T217" i="17"/>
  <c r="S217" i="17"/>
  <c r="E217" i="17"/>
  <c r="T214" i="17"/>
  <c r="S214" i="17"/>
  <c r="E214" i="17"/>
  <c r="T213" i="17"/>
  <c r="S213" i="17"/>
  <c r="E213" i="17"/>
  <c r="T212" i="17"/>
  <c r="S212" i="17"/>
  <c r="E212" i="17"/>
  <c r="T211" i="17"/>
  <c r="S211" i="17"/>
  <c r="E211" i="17"/>
  <c r="T210" i="17"/>
  <c r="E210" i="17"/>
  <c r="T209" i="17"/>
  <c r="S209" i="17"/>
  <c r="E209" i="17"/>
  <c r="T208" i="17"/>
  <c r="S208" i="17"/>
  <c r="E208" i="17"/>
  <c r="T207" i="17"/>
  <c r="S207" i="17"/>
  <c r="E207" i="17"/>
  <c r="T206" i="17"/>
  <c r="S206" i="17"/>
  <c r="E206" i="17"/>
  <c r="T205" i="17"/>
  <c r="S205" i="17"/>
  <c r="E205" i="17"/>
  <c r="T204" i="17"/>
  <c r="S204" i="17"/>
  <c r="E204" i="17"/>
  <c r="T203" i="17"/>
  <c r="S203" i="17"/>
  <c r="E203" i="17"/>
  <c r="T202" i="17"/>
  <c r="S202" i="17"/>
  <c r="E202" i="17"/>
  <c r="T201" i="17"/>
  <c r="S201" i="17"/>
  <c r="E201" i="17"/>
  <c r="T200" i="17"/>
  <c r="S200" i="17"/>
  <c r="E200" i="17"/>
  <c r="T197" i="17"/>
  <c r="S197" i="17"/>
  <c r="E197" i="17"/>
  <c r="T196" i="17"/>
  <c r="S196" i="17"/>
  <c r="E196" i="17"/>
  <c r="T195" i="17"/>
  <c r="S195" i="17"/>
  <c r="E195" i="17"/>
  <c r="T194" i="17"/>
  <c r="S194" i="17"/>
  <c r="E194" i="17"/>
  <c r="T193" i="17"/>
  <c r="S193" i="17"/>
  <c r="E193" i="17"/>
  <c r="T192" i="17"/>
  <c r="S192" i="17"/>
  <c r="E192" i="17"/>
  <c r="T191" i="17"/>
  <c r="S191" i="17"/>
  <c r="E191" i="17"/>
  <c r="T190" i="17"/>
  <c r="S190" i="17"/>
  <c r="E190" i="17"/>
  <c r="T189" i="17"/>
  <c r="S189" i="17"/>
  <c r="E189" i="17"/>
  <c r="T188" i="17"/>
  <c r="S188" i="17"/>
  <c r="E188" i="17"/>
  <c r="T187" i="17"/>
  <c r="S187" i="17"/>
  <c r="E187" i="17"/>
  <c r="T186" i="17"/>
  <c r="S186" i="17"/>
  <c r="E186" i="17"/>
  <c r="T185" i="17"/>
  <c r="S185" i="17"/>
  <c r="E185" i="17"/>
  <c r="T184" i="17"/>
  <c r="S184" i="17"/>
  <c r="E184" i="17"/>
  <c r="T181" i="17"/>
  <c r="S181" i="17"/>
  <c r="E181" i="17"/>
  <c r="T180" i="17"/>
  <c r="S180" i="17"/>
  <c r="E180" i="17"/>
  <c r="T179" i="17"/>
  <c r="S179" i="17"/>
  <c r="E179" i="17"/>
  <c r="T178" i="17"/>
  <c r="S178" i="17"/>
  <c r="E178" i="17"/>
  <c r="T177" i="17"/>
  <c r="S177" i="17"/>
  <c r="E177" i="17"/>
  <c r="T176" i="17"/>
  <c r="S176" i="17"/>
  <c r="E176" i="17"/>
  <c r="T175" i="17"/>
  <c r="S175" i="17"/>
  <c r="E175" i="17"/>
  <c r="T174" i="17"/>
  <c r="S174" i="17"/>
  <c r="E174" i="17"/>
  <c r="T173" i="17"/>
  <c r="S173" i="17"/>
  <c r="E173" i="17"/>
  <c r="T172" i="17"/>
  <c r="S172" i="17"/>
  <c r="E172" i="17"/>
  <c r="T171" i="17"/>
  <c r="S171" i="17"/>
  <c r="E171" i="17"/>
  <c r="T170" i="17"/>
  <c r="S170" i="17"/>
  <c r="E170" i="17"/>
  <c r="T169" i="17"/>
  <c r="S169" i="17"/>
  <c r="E169" i="17"/>
  <c r="T168" i="17"/>
  <c r="S168" i="17"/>
  <c r="E168" i="17"/>
  <c r="T167" i="17"/>
  <c r="S167" i="17"/>
  <c r="E167" i="17"/>
  <c r="T166" i="17"/>
  <c r="S166" i="17"/>
  <c r="E166" i="17"/>
  <c r="T165" i="17"/>
  <c r="S165" i="17"/>
  <c r="E165" i="17"/>
  <c r="T164" i="17"/>
  <c r="S164" i="17"/>
  <c r="E164" i="17"/>
  <c r="T163" i="17"/>
  <c r="S163" i="17"/>
  <c r="E163" i="17"/>
  <c r="T160" i="17"/>
  <c r="E160" i="17"/>
  <c r="T159" i="17"/>
  <c r="S159" i="17"/>
  <c r="E159" i="17"/>
  <c r="T158" i="17"/>
  <c r="E158" i="17"/>
  <c r="T157" i="17"/>
  <c r="E157" i="17"/>
  <c r="T156" i="17"/>
  <c r="E156" i="17"/>
  <c r="T155" i="17"/>
  <c r="S155" i="17"/>
  <c r="E155" i="17"/>
  <c r="T154" i="17"/>
  <c r="S154" i="17"/>
  <c r="E154" i="17"/>
  <c r="T153" i="17"/>
  <c r="S153" i="17"/>
  <c r="E153" i="17"/>
  <c r="T152" i="17"/>
  <c r="S152" i="17"/>
  <c r="E152" i="17"/>
  <c r="T151" i="17"/>
  <c r="S151" i="17"/>
  <c r="E151" i="17"/>
  <c r="T150" i="17"/>
  <c r="S150" i="17"/>
  <c r="E150" i="17"/>
  <c r="T149" i="17"/>
  <c r="S149" i="17"/>
  <c r="E149" i="17"/>
  <c r="T148" i="17"/>
  <c r="S148" i="17"/>
  <c r="E148" i="17"/>
  <c r="T147" i="17"/>
  <c r="S147" i="17"/>
  <c r="E147" i="17"/>
  <c r="T146" i="17"/>
  <c r="S146" i="17"/>
  <c r="E146" i="17"/>
  <c r="T145" i="17"/>
  <c r="S145" i="17"/>
  <c r="E145" i="17"/>
  <c r="T144" i="17"/>
  <c r="S144" i="17"/>
  <c r="E144" i="17"/>
  <c r="T143" i="17"/>
  <c r="S143" i="17"/>
  <c r="E143" i="17"/>
  <c r="T142" i="17"/>
  <c r="S142" i="17"/>
  <c r="E142" i="17"/>
  <c r="T141" i="17"/>
  <c r="S141" i="17"/>
  <c r="E141" i="17"/>
  <c r="T140" i="17"/>
  <c r="S140" i="17"/>
  <c r="E140" i="17"/>
  <c r="T139" i="17"/>
  <c r="S139" i="17"/>
  <c r="E139" i="17"/>
  <c r="T138" i="17"/>
  <c r="S138" i="17"/>
  <c r="E138" i="17"/>
  <c r="T137" i="17"/>
  <c r="S137" i="17"/>
  <c r="E137" i="17"/>
  <c r="T136" i="17"/>
  <c r="S136" i="17"/>
  <c r="E136" i="17"/>
  <c r="T135" i="17"/>
  <c r="S135" i="17"/>
  <c r="E135" i="17"/>
  <c r="T134" i="17"/>
  <c r="S134" i="17"/>
  <c r="E134" i="17"/>
  <c r="T133" i="17"/>
  <c r="S133" i="17"/>
  <c r="E133" i="17"/>
  <c r="T132" i="17"/>
  <c r="E132" i="17"/>
  <c r="T131" i="17"/>
  <c r="S131" i="17"/>
  <c r="E131" i="17"/>
  <c r="T130" i="17"/>
  <c r="S130" i="17"/>
  <c r="E130" i="17"/>
  <c r="T129" i="17"/>
  <c r="S129" i="17"/>
  <c r="E129" i="17"/>
  <c r="T128" i="17"/>
  <c r="S128" i="17"/>
  <c r="E128" i="17"/>
  <c r="T127" i="17"/>
  <c r="S127" i="17"/>
  <c r="E127" i="17"/>
  <c r="T124" i="17"/>
  <c r="S124" i="17"/>
  <c r="E124" i="17"/>
  <c r="T123" i="17"/>
  <c r="S123" i="17"/>
  <c r="E123" i="17"/>
  <c r="T122" i="17"/>
  <c r="S122" i="17"/>
  <c r="E122" i="17"/>
  <c r="T121" i="17"/>
  <c r="S121" i="17"/>
  <c r="E121" i="17"/>
  <c r="T120" i="17"/>
  <c r="S120" i="17"/>
  <c r="E120" i="17"/>
  <c r="T119" i="17"/>
  <c r="S119" i="17"/>
  <c r="E119" i="17"/>
  <c r="T118" i="17"/>
  <c r="S118" i="17"/>
  <c r="E118" i="17"/>
  <c r="T117" i="17"/>
  <c r="S117" i="17"/>
  <c r="E117" i="17"/>
  <c r="T116" i="17"/>
  <c r="S116" i="17"/>
  <c r="E116" i="17"/>
  <c r="T115" i="17"/>
  <c r="S115" i="17"/>
  <c r="E115" i="17"/>
  <c r="T114" i="17"/>
  <c r="S114" i="17"/>
  <c r="E114" i="17"/>
  <c r="T113" i="17"/>
  <c r="S113" i="17"/>
  <c r="E113" i="17"/>
  <c r="T112" i="17"/>
  <c r="S112" i="17"/>
  <c r="E112" i="17"/>
  <c r="T111" i="17"/>
  <c r="S111" i="17"/>
  <c r="E111" i="17"/>
  <c r="T110" i="17"/>
  <c r="S110" i="17"/>
  <c r="E110" i="17"/>
  <c r="T109" i="17"/>
  <c r="S109" i="17"/>
  <c r="E109" i="17"/>
  <c r="T108" i="17"/>
  <c r="S108" i="17"/>
  <c r="E108" i="17"/>
  <c r="T107" i="17"/>
  <c r="S107" i="17"/>
  <c r="E107" i="17"/>
  <c r="T104" i="17"/>
  <c r="S104" i="17"/>
  <c r="E104" i="17"/>
  <c r="T103" i="17"/>
  <c r="S103" i="17"/>
  <c r="E103" i="17"/>
  <c r="T102" i="17"/>
  <c r="S102" i="17"/>
  <c r="E102" i="17"/>
  <c r="T101" i="17"/>
  <c r="S101" i="17"/>
  <c r="E101" i="17"/>
  <c r="T100" i="17"/>
  <c r="S100" i="17"/>
  <c r="E100" i="17"/>
  <c r="T99" i="17"/>
  <c r="S99" i="17"/>
  <c r="E99" i="17"/>
  <c r="T98" i="17"/>
  <c r="E98" i="17"/>
  <c r="T97" i="17"/>
  <c r="S97" i="17"/>
  <c r="E97" i="17"/>
  <c r="T96" i="17"/>
  <c r="S96" i="17"/>
  <c r="E96" i="17"/>
  <c r="T93" i="17"/>
  <c r="S93" i="17"/>
  <c r="E93" i="17"/>
  <c r="T90" i="17"/>
  <c r="S90" i="17"/>
  <c r="E90" i="17"/>
  <c r="T87" i="17"/>
  <c r="S87" i="17"/>
  <c r="E87" i="17"/>
  <c r="T84" i="17"/>
  <c r="S84" i="17"/>
  <c r="E84" i="17"/>
  <c r="T81" i="17"/>
  <c r="S81" i="17"/>
  <c r="E81" i="17"/>
  <c r="T80" i="17"/>
  <c r="E80" i="17"/>
  <c r="T79" i="17"/>
  <c r="S79" i="17"/>
  <c r="E79" i="17"/>
  <c r="T78" i="17"/>
  <c r="S78" i="17"/>
  <c r="E78" i="17"/>
  <c r="T77" i="17"/>
  <c r="S77" i="17"/>
  <c r="E77" i="17"/>
  <c r="T76" i="17"/>
  <c r="S76" i="17"/>
  <c r="E76" i="17"/>
  <c r="T75" i="17"/>
  <c r="S75" i="17"/>
  <c r="E75" i="17"/>
  <c r="T74" i="17"/>
  <c r="S74" i="17"/>
  <c r="E74" i="17"/>
  <c r="T71" i="17"/>
  <c r="S71" i="17"/>
  <c r="E71" i="17"/>
  <c r="T70" i="17"/>
  <c r="S70" i="17"/>
  <c r="E70" i="17"/>
  <c r="T69" i="17"/>
  <c r="E69" i="17"/>
  <c r="T68" i="17"/>
  <c r="E68" i="17"/>
  <c r="T67" i="17"/>
  <c r="S67" i="17"/>
  <c r="E67" i="17"/>
  <c r="T66" i="17"/>
  <c r="S66" i="17"/>
  <c r="E66" i="17"/>
  <c r="T65" i="17"/>
  <c r="S65" i="17"/>
  <c r="E65" i="17"/>
  <c r="T64" i="17"/>
  <c r="S64" i="17"/>
  <c r="E64" i="17"/>
  <c r="T63" i="17"/>
  <c r="S63" i="17"/>
  <c r="E63" i="17"/>
  <c r="T62" i="17"/>
  <c r="S62" i="17"/>
  <c r="E62" i="17"/>
  <c r="T61" i="17"/>
  <c r="S61" i="17"/>
  <c r="E61" i="17"/>
  <c r="T60" i="17"/>
  <c r="S60" i="17"/>
  <c r="E60" i="17"/>
  <c r="T59" i="17"/>
  <c r="S59" i="17"/>
  <c r="E59" i="17"/>
  <c r="T58" i="17"/>
  <c r="S58" i="17"/>
  <c r="E58" i="17"/>
  <c r="T57" i="17"/>
  <c r="S57" i="17"/>
  <c r="E57" i="17"/>
  <c r="T54" i="17"/>
  <c r="S54" i="17"/>
  <c r="E54" i="17"/>
  <c r="T53" i="17"/>
  <c r="S53" i="17"/>
  <c r="E53" i="17"/>
  <c r="T52" i="17"/>
  <c r="E52" i="17"/>
  <c r="T51" i="17"/>
  <c r="E51" i="17"/>
  <c r="T50" i="17"/>
  <c r="S50" i="17"/>
  <c r="E50" i="17"/>
  <c r="T49" i="17"/>
  <c r="S49" i="17"/>
  <c r="E49" i="17"/>
  <c r="T48" i="17"/>
  <c r="S48" i="17"/>
  <c r="E48" i="17"/>
  <c r="T47" i="17"/>
  <c r="S47" i="17"/>
  <c r="E47" i="17"/>
  <c r="T46" i="17"/>
  <c r="S46" i="17"/>
  <c r="E46" i="17"/>
  <c r="T45" i="17"/>
  <c r="S45" i="17"/>
  <c r="E45" i="17"/>
  <c r="T44" i="17"/>
  <c r="S44" i="17"/>
  <c r="E44" i="17"/>
  <c r="T43" i="17"/>
  <c r="E43" i="17"/>
  <c r="T40" i="17"/>
  <c r="S40" i="17"/>
  <c r="E40" i="17"/>
  <c r="T39" i="17"/>
  <c r="S39" i="17"/>
  <c r="E39" i="17"/>
  <c r="T38" i="17"/>
  <c r="S38" i="17"/>
  <c r="E38" i="17"/>
  <c r="T37" i="17"/>
  <c r="S37" i="17"/>
  <c r="E37" i="17"/>
  <c r="T36" i="17"/>
  <c r="S36" i="17"/>
  <c r="E36" i="17"/>
  <c r="T35" i="17"/>
  <c r="S35" i="17"/>
  <c r="E35" i="17"/>
  <c r="T34" i="17"/>
  <c r="S34" i="17"/>
  <c r="E34" i="17"/>
  <c r="T33" i="17"/>
  <c r="S33" i="17"/>
  <c r="E33" i="17"/>
  <c r="T32" i="17"/>
  <c r="S32" i="17"/>
  <c r="E32" i="17"/>
  <c r="T31" i="17"/>
  <c r="S31" i="17"/>
  <c r="E31" i="17"/>
  <c r="T30" i="17"/>
  <c r="S30" i="17"/>
  <c r="E30" i="17"/>
  <c r="T29" i="17"/>
  <c r="S29" i="17"/>
  <c r="E29" i="17"/>
  <c r="T26" i="17"/>
  <c r="S26" i="17"/>
  <c r="E26" i="17"/>
  <c r="T25" i="17"/>
  <c r="S25" i="17"/>
  <c r="E25" i="17"/>
  <c r="T24" i="17"/>
  <c r="S24" i="17"/>
  <c r="E24" i="17"/>
  <c r="T23" i="17"/>
  <c r="S23" i="17"/>
  <c r="E23" i="17"/>
  <c r="T22" i="17"/>
  <c r="S22" i="17"/>
  <c r="E22" i="17"/>
  <c r="T21" i="17"/>
  <c r="S21" i="17"/>
  <c r="E21" i="17"/>
  <c r="T20" i="17"/>
  <c r="S20" i="17"/>
  <c r="E20" i="17"/>
  <c r="T19" i="17"/>
  <c r="S19" i="17"/>
  <c r="E19" i="17"/>
  <c r="T16" i="17"/>
  <c r="E16" i="17"/>
  <c r="T15" i="17"/>
  <c r="S15" i="17"/>
  <c r="E15" i="17"/>
  <c r="T14" i="17"/>
  <c r="S14" i="17"/>
  <c r="E14" i="17"/>
  <c r="T13" i="17"/>
  <c r="S13" i="17"/>
  <c r="E13" i="17"/>
  <c r="T12" i="17"/>
  <c r="S12" i="17"/>
  <c r="E12" i="17"/>
  <c r="T11" i="17"/>
  <c r="S11" i="17"/>
  <c r="E11" i="17"/>
  <c r="T10" i="17"/>
  <c r="S10" i="17"/>
  <c r="E10" i="17"/>
  <c r="T7" i="17"/>
  <c r="S7" i="17"/>
  <c r="E7" i="17"/>
  <c r="T6" i="17"/>
  <c r="S6" i="17"/>
  <c r="E6" i="17"/>
  <c r="T161" i="16"/>
  <c r="S161" i="16"/>
  <c r="E161" i="16"/>
  <c r="T160" i="16"/>
  <c r="S160" i="16"/>
  <c r="E160" i="16"/>
  <c r="T159" i="16"/>
  <c r="S159" i="16"/>
  <c r="E159" i="16"/>
  <c r="T158" i="16"/>
  <c r="S158" i="16"/>
  <c r="E158" i="16"/>
  <c r="T155" i="16"/>
  <c r="S155" i="16"/>
  <c r="E155" i="16"/>
  <c r="T154" i="16"/>
  <c r="S154" i="16"/>
  <c r="E154" i="16"/>
  <c r="T151" i="16"/>
  <c r="S151" i="16"/>
  <c r="E151" i="16"/>
  <c r="T150" i="16"/>
  <c r="S150" i="16"/>
  <c r="E150" i="16"/>
  <c r="T149" i="16"/>
  <c r="E149" i="16"/>
  <c r="T148" i="16"/>
  <c r="S148" i="16"/>
  <c r="E148" i="16"/>
  <c r="T147" i="16"/>
  <c r="S147" i="16"/>
  <c r="E147" i="16"/>
  <c r="T146" i="16"/>
  <c r="S146" i="16"/>
  <c r="E146" i="16"/>
  <c r="T145" i="16"/>
  <c r="S145" i="16"/>
  <c r="E145" i="16"/>
  <c r="T144" i="16"/>
  <c r="S144" i="16"/>
  <c r="E144" i="16"/>
  <c r="T143" i="16"/>
  <c r="S143" i="16"/>
  <c r="E143" i="16"/>
  <c r="T142" i="16"/>
  <c r="S142" i="16"/>
  <c r="E142" i="16"/>
  <c r="T139" i="16"/>
  <c r="S139" i="16"/>
  <c r="E139" i="16"/>
  <c r="T138" i="16"/>
  <c r="S138" i="16"/>
  <c r="E138" i="16"/>
  <c r="T137" i="16"/>
  <c r="S137" i="16"/>
  <c r="E137" i="16"/>
  <c r="T136" i="16"/>
  <c r="E136" i="16"/>
  <c r="T135" i="16"/>
  <c r="S135" i="16"/>
  <c r="E135" i="16"/>
  <c r="T134" i="16"/>
  <c r="S134" i="16"/>
  <c r="E134" i="16"/>
  <c r="T133" i="16"/>
  <c r="S133" i="16"/>
  <c r="E133" i="16"/>
  <c r="T132" i="16"/>
  <c r="S132" i="16"/>
  <c r="E132" i="16"/>
  <c r="T131" i="16"/>
  <c r="S131" i="16"/>
  <c r="E131" i="16"/>
  <c r="T130" i="16"/>
  <c r="S130" i="16"/>
  <c r="E130" i="16"/>
  <c r="T129" i="16"/>
  <c r="S129" i="16"/>
  <c r="E129" i="16"/>
  <c r="T128" i="16"/>
  <c r="S128" i="16"/>
  <c r="E128" i="16"/>
  <c r="T127" i="16"/>
  <c r="S127" i="16"/>
  <c r="E127" i="16"/>
  <c r="T126" i="16"/>
  <c r="S126" i="16"/>
  <c r="E126" i="16"/>
  <c r="T125" i="16"/>
  <c r="S125" i="16"/>
  <c r="E125" i="16"/>
  <c r="T124" i="16"/>
  <c r="E124" i="16"/>
  <c r="T123" i="16"/>
  <c r="S123" i="16"/>
  <c r="E123" i="16"/>
  <c r="T122" i="16"/>
  <c r="S122" i="16"/>
  <c r="E122" i="16"/>
  <c r="T119" i="16"/>
  <c r="S119" i="16"/>
  <c r="E119" i="16"/>
  <c r="T118" i="16"/>
  <c r="S118" i="16"/>
  <c r="E118" i="16"/>
  <c r="T117" i="16"/>
  <c r="S117" i="16"/>
  <c r="E117" i="16"/>
  <c r="T116" i="16"/>
  <c r="E116" i="16"/>
  <c r="T115" i="16"/>
  <c r="S115" i="16"/>
  <c r="E115" i="16"/>
  <c r="T114" i="16"/>
  <c r="S114" i="16"/>
  <c r="E114" i="16"/>
  <c r="T113" i="16"/>
  <c r="S113" i="16"/>
  <c r="E113" i="16"/>
  <c r="T112" i="16"/>
  <c r="E112" i="16"/>
  <c r="T111" i="16"/>
  <c r="E111" i="16"/>
  <c r="T110" i="16"/>
  <c r="S110" i="16"/>
  <c r="E110" i="16"/>
  <c r="T109" i="16"/>
  <c r="S109" i="16"/>
  <c r="E109" i="16"/>
  <c r="T108" i="16"/>
  <c r="S108" i="16"/>
  <c r="E108" i="16"/>
  <c r="T107" i="16"/>
  <c r="S107" i="16"/>
  <c r="E107" i="16"/>
  <c r="T106" i="16"/>
  <c r="S106" i="16"/>
  <c r="E106" i="16"/>
  <c r="T105" i="16"/>
  <c r="S105" i="16"/>
  <c r="E105" i="16"/>
  <c r="T104" i="16"/>
  <c r="S104" i="16"/>
  <c r="E104" i="16"/>
  <c r="T103" i="16"/>
  <c r="S103" i="16"/>
  <c r="E103" i="16"/>
  <c r="T102" i="16"/>
  <c r="S102" i="16"/>
  <c r="E102" i="16"/>
  <c r="T101" i="16"/>
  <c r="S101" i="16"/>
  <c r="E101" i="16"/>
  <c r="T100" i="16"/>
  <c r="S100" i="16"/>
  <c r="E100" i="16"/>
  <c r="T99" i="16"/>
  <c r="S99" i="16"/>
  <c r="E99" i="16"/>
  <c r="T98" i="16"/>
  <c r="S98" i="16"/>
  <c r="E98" i="16"/>
  <c r="T97" i="16"/>
  <c r="S97" i="16"/>
  <c r="E97" i="16"/>
  <c r="T96" i="16"/>
  <c r="S96" i="16"/>
  <c r="E96" i="16"/>
  <c r="T95" i="16"/>
  <c r="S95" i="16"/>
  <c r="E95" i="16"/>
  <c r="T94" i="16"/>
  <c r="S94" i="16"/>
  <c r="E94" i="16"/>
  <c r="T93" i="16"/>
  <c r="S93" i="16"/>
  <c r="E93" i="16"/>
  <c r="T92" i="16"/>
  <c r="S92" i="16"/>
  <c r="E92" i="16"/>
  <c r="T89" i="16"/>
  <c r="S89" i="16"/>
  <c r="E89" i="16"/>
  <c r="T88" i="16"/>
  <c r="S88" i="16"/>
  <c r="E88" i="16"/>
  <c r="T87" i="16"/>
  <c r="S87" i="16"/>
  <c r="E87" i="16"/>
  <c r="T86" i="16"/>
  <c r="E86" i="16"/>
  <c r="T85" i="16"/>
  <c r="S85" i="16"/>
  <c r="E85" i="16"/>
  <c r="T84" i="16"/>
  <c r="S84" i="16"/>
  <c r="E84" i="16"/>
  <c r="T83" i="16"/>
  <c r="E83" i="16"/>
  <c r="T82" i="16"/>
  <c r="S82" i="16"/>
  <c r="E82" i="16"/>
  <c r="T81" i="16"/>
  <c r="S81" i="16"/>
  <c r="E81" i="16"/>
  <c r="T80" i="16"/>
  <c r="S80" i="16"/>
  <c r="E80" i="16"/>
  <c r="T79" i="16"/>
  <c r="S79" i="16"/>
  <c r="E79" i="16"/>
  <c r="T78" i="16"/>
  <c r="S78" i="16"/>
  <c r="E78" i="16"/>
  <c r="T77" i="16"/>
  <c r="S77" i="16"/>
  <c r="E77" i="16"/>
  <c r="T76" i="16"/>
  <c r="S76" i="16"/>
  <c r="E76" i="16"/>
  <c r="T75" i="16"/>
  <c r="S75" i="16"/>
  <c r="E75" i="16"/>
  <c r="T74" i="16"/>
  <c r="S74" i="16"/>
  <c r="E74" i="16"/>
  <c r="T73" i="16"/>
  <c r="S73" i="16"/>
  <c r="E73" i="16"/>
  <c r="T72" i="16"/>
  <c r="S72" i="16"/>
  <c r="E72" i="16"/>
  <c r="T71" i="16"/>
  <c r="S71" i="16"/>
  <c r="E71" i="16"/>
  <c r="T68" i="16"/>
  <c r="S68" i="16"/>
  <c r="E68" i="16"/>
  <c r="T67" i="16"/>
  <c r="S67" i="16"/>
  <c r="E67" i="16"/>
  <c r="T66" i="16"/>
  <c r="S66" i="16"/>
  <c r="E66" i="16"/>
  <c r="T65" i="16"/>
  <c r="S65" i="16"/>
  <c r="E65" i="16"/>
  <c r="T64" i="16"/>
  <c r="S64" i="16"/>
  <c r="E64" i="16"/>
  <c r="T63" i="16"/>
  <c r="S63" i="16"/>
  <c r="E63" i="16"/>
  <c r="T62" i="16"/>
  <c r="S62" i="16"/>
  <c r="E62" i="16"/>
  <c r="T61" i="16"/>
  <c r="S61" i="16"/>
  <c r="E61" i="16"/>
  <c r="T60" i="16"/>
  <c r="S60" i="16"/>
  <c r="E60" i="16"/>
  <c r="T57" i="16"/>
  <c r="E57" i="16"/>
  <c r="T56" i="16"/>
  <c r="S56" i="16"/>
  <c r="E56" i="16"/>
  <c r="T55" i="16"/>
  <c r="S55" i="16"/>
  <c r="E55" i="16"/>
  <c r="T54" i="16"/>
  <c r="S54" i="16"/>
  <c r="E54" i="16"/>
  <c r="T53" i="16"/>
  <c r="S53" i="16"/>
  <c r="E53" i="16"/>
  <c r="T52" i="16"/>
  <c r="S52" i="16"/>
  <c r="E52" i="16"/>
  <c r="T51" i="16"/>
  <c r="S51" i="16"/>
  <c r="E51" i="16"/>
  <c r="T50" i="16"/>
  <c r="S50" i="16"/>
  <c r="E50" i="16"/>
  <c r="T47" i="16"/>
  <c r="S47" i="16"/>
  <c r="E47" i="16"/>
  <c r="T46" i="16"/>
  <c r="E46" i="16"/>
  <c r="T45" i="16"/>
  <c r="S45" i="16"/>
  <c r="E45" i="16"/>
  <c r="T44" i="16"/>
  <c r="S44" i="16"/>
  <c r="E44" i="16"/>
  <c r="T43" i="16"/>
  <c r="S43" i="16"/>
  <c r="E43" i="16"/>
  <c r="T42" i="16"/>
  <c r="S42" i="16"/>
  <c r="E42" i="16"/>
  <c r="T41" i="16"/>
  <c r="S41" i="16"/>
  <c r="E41" i="16"/>
  <c r="T38" i="16"/>
  <c r="S38" i="16"/>
  <c r="E38" i="16"/>
  <c r="T35" i="16"/>
  <c r="S35" i="16"/>
  <c r="E35" i="16"/>
  <c r="T32" i="16"/>
  <c r="S32" i="16"/>
  <c r="E32" i="16"/>
  <c r="T29" i="16"/>
  <c r="E29" i="16"/>
  <c r="T28" i="16"/>
  <c r="E28" i="16"/>
  <c r="T27" i="16"/>
  <c r="S27" i="16"/>
  <c r="E27" i="16"/>
  <c r="T26" i="16"/>
  <c r="S26" i="16"/>
  <c r="E26" i="16"/>
  <c r="T25" i="16"/>
  <c r="S25" i="16"/>
  <c r="E25" i="16"/>
  <c r="T24" i="16"/>
  <c r="S24" i="16"/>
  <c r="E24" i="16"/>
  <c r="T21" i="16"/>
  <c r="S21" i="16"/>
  <c r="E21" i="16"/>
  <c r="T20" i="16"/>
  <c r="S20" i="16"/>
  <c r="E20" i="16"/>
  <c r="T19" i="16"/>
  <c r="E19" i="16"/>
  <c r="T18" i="16"/>
  <c r="S18" i="16"/>
  <c r="E18" i="16"/>
  <c r="T17" i="16"/>
  <c r="S17" i="16"/>
  <c r="E17" i="16"/>
  <c r="T14" i="16"/>
  <c r="S14" i="16"/>
  <c r="E14" i="16"/>
  <c r="T13" i="16"/>
  <c r="S13" i="16"/>
  <c r="E13" i="16"/>
  <c r="T10" i="16"/>
  <c r="S10" i="16"/>
  <c r="E10" i="16"/>
  <c r="T7" i="16"/>
  <c r="S7" i="16"/>
  <c r="E7" i="16"/>
  <c r="T6" i="16"/>
  <c r="S6" i="16"/>
  <c r="E6" i="16"/>
  <c r="T6" i="15"/>
  <c r="S6" i="15"/>
  <c r="E6" i="15"/>
  <c r="T16" i="14"/>
  <c r="E16" i="14"/>
  <c r="T15" i="14"/>
  <c r="S15" i="14"/>
  <c r="E15" i="14"/>
  <c r="T12" i="14"/>
  <c r="S12" i="14"/>
  <c r="E12" i="14"/>
  <c r="T9" i="14"/>
  <c r="E9" i="14"/>
  <c r="T6" i="14"/>
  <c r="S6" i="14"/>
  <c r="E6" i="14"/>
  <c r="T92" i="13"/>
  <c r="S92" i="13"/>
  <c r="E92" i="13"/>
  <c r="T91" i="13"/>
  <c r="S91" i="13"/>
  <c r="E91" i="13"/>
  <c r="T90" i="13"/>
  <c r="S90" i="13"/>
  <c r="E90" i="13"/>
  <c r="T87" i="13"/>
  <c r="S87" i="13"/>
  <c r="E87" i="13"/>
  <c r="T86" i="13"/>
  <c r="S86" i="13"/>
  <c r="E86" i="13"/>
  <c r="T83" i="13"/>
  <c r="E83" i="13"/>
  <c r="T82" i="13"/>
  <c r="S82" i="13"/>
  <c r="E82" i="13"/>
  <c r="T81" i="13"/>
  <c r="S81" i="13"/>
  <c r="E81" i="13"/>
  <c r="T80" i="13"/>
  <c r="E80" i="13"/>
  <c r="T77" i="13"/>
  <c r="S77" i="13"/>
  <c r="E77" i="13"/>
  <c r="T76" i="13"/>
  <c r="E76" i="13"/>
  <c r="T75" i="13"/>
  <c r="E75" i="13"/>
  <c r="T74" i="13"/>
  <c r="S74" i="13"/>
  <c r="E74" i="13"/>
  <c r="T73" i="13"/>
  <c r="S73" i="13"/>
  <c r="E73" i="13"/>
  <c r="T72" i="13"/>
  <c r="S72" i="13"/>
  <c r="E72" i="13"/>
  <c r="T71" i="13"/>
  <c r="S71" i="13"/>
  <c r="E71" i="13"/>
  <c r="T68" i="13"/>
  <c r="S68" i="13"/>
  <c r="E68" i="13"/>
  <c r="T67" i="13"/>
  <c r="S67" i="13"/>
  <c r="E67" i="13"/>
  <c r="T66" i="13"/>
  <c r="S66" i="13"/>
  <c r="E66" i="13"/>
  <c r="T65" i="13"/>
  <c r="S65" i="13"/>
  <c r="E65" i="13"/>
  <c r="T64" i="13"/>
  <c r="S64" i="13"/>
  <c r="E64" i="13"/>
  <c r="T63" i="13"/>
  <c r="S63" i="13"/>
  <c r="E63" i="13"/>
  <c r="T62" i="13"/>
  <c r="S62" i="13"/>
  <c r="E62" i="13"/>
  <c r="T61" i="13"/>
  <c r="S61" i="13"/>
  <c r="E61" i="13"/>
  <c r="T60" i="13"/>
  <c r="S60" i="13"/>
  <c r="E60" i="13"/>
  <c r="T59" i="13"/>
  <c r="S59" i="13"/>
  <c r="E59" i="13"/>
  <c r="T58" i="13"/>
  <c r="S58" i="13"/>
  <c r="E58" i="13"/>
  <c r="T57" i="13"/>
  <c r="S57" i="13"/>
  <c r="E57" i="13"/>
  <c r="T56" i="13"/>
  <c r="S56" i="13"/>
  <c r="E56" i="13"/>
  <c r="T53" i="13"/>
  <c r="E53" i="13"/>
  <c r="T52" i="13"/>
  <c r="S52" i="13"/>
  <c r="E52" i="13"/>
  <c r="T51" i="13"/>
  <c r="E51" i="13"/>
  <c r="T50" i="13"/>
  <c r="E50" i="13"/>
  <c r="T49" i="13"/>
  <c r="S49" i="13"/>
  <c r="E49" i="13"/>
  <c r="T48" i="13"/>
  <c r="S48" i="13"/>
  <c r="E48" i="13"/>
  <c r="T47" i="13"/>
  <c r="S47" i="13"/>
  <c r="E47" i="13"/>
  <c r="T46" i="13"/>
  <c r="S46" i="13"/>
  <c r="E46" i="13"/>
  <c r="T45" i="13"/>
  <c r="S45" i="13"/>
  <c r="E45" i="13"/>
  <c r="T44" i="13"/>
  <c r="S44" i="13"/>
  <c r="E44" i="13"/>
  <c r="T43" i="13"/>
  <c r="S43" i="13"/>
  <c r="E43" i="13"/>
  <c r="T40" i="13"/>
  <c r="S40" i="13"/>
  <c r="E40" i="13"/>
  <c r="T39" i="13"/>
  <c r="E39" i="13"/>
  <c r="T38" i="13"/>
  <c r="S38" i="13"/>
  <c r="E38" i="13"/>
  <c r="T37" i="13"/>
  <c r="S37" i="13"/>
  <c r="E37" i="13"/>
  <c r="T36" i="13"/>
  <c r="S36" i="13"/>
  <c r="E36" i="13"/>
  <c r="T35" i="13"/>
  <c r="S35" i="13"/>
  <c r="E35" i="13"/>
  <c r="T34" i="13"/>
  <c r="S34" i="13"/>
  <c r="E34" i="13"/>
  <c r="T31" i="13"/>
  <c r="S31" i="13"/>
  <c r="E31" i="13"/>
  <c r="T28" i="13"/>
  <c r="S28" i="13"/>
  <c r="E28" i="13"/>
  <c r="T25" i="13"/>
  <c r="S25" i="13"/>
  <c r="E25" i="13"/>
  <c r="T24" i="13"/>
  <c r="S24" i="13"/>
  <c r="E24" i="13"/>
  <c r="T23" i="13"/>
  <c r="S23" i="13"/>
  <c r="E23" i="13"/>
  <c r="T20" i="13"/>
  <c r="S20" i="13"/>
  <c r="E20" i="13"/>
  <c r="T19" i="13"/>
  <c r="S19" i="13"/>
  <c r="E19" i="13"/>
  <c r="T16" i="13"/>
  <c r="E16" i="13"/>
  <c r="T15" i="13"/>
  <c r="E15" i="13"/>
  <c r="T14" i="13"/>
  <c r="S14" i="13"/>
  <c r="E14" i="13"/>
  <c r="T11" i="13"/>
  <c r="S11" i="13"/>
  <c r="E11" i="13"/>
  <c r="T10" i="13"/>
  <c r="S10" i="13"/>
  <c r="E10" i="13"/>
  <c r="T9" i="13"/>
  <c r="S9" i="13"/>
  <c r="E9" i="13"/>
  <c r="T8" i="13"/>
  <c r="S8" i="13"/>
  <c r="E8" i="13"/>
  <c r="T7" i="13"/>
  <c r="S7" i="13"/>
  <c r="E7" i="13"/>
  <c r="T6" i="13"/>
  <c r="S6" i="13"/>
  <c r="E6" i="13"/>
  <c r="T173" i="12"/>
  <c r="S173" i="12"/>
  <c r="E173" i="12"/>
  <c r="T172" i="12"/>
  <c r="S172" i="12"/>
  <c r="E172" i="12"/>
  <c r="T171" i="12"/>
  <c r="S171" i="12"/>
  <c r="E171" i="12"/>
  <c r="T168" i="12"/>
  <c r="E168" i="12"/>
  <c r="T167" i="12"/>
  <c r="S167" i="12"/>
  <c r="E167" i="12"/>
  <c r="T166" i="12"/>
  <c r="S166" i="12"/>
  <c r="E166" i="12"/>
  <c r="T165" i="12"/>
  <c r="S165" i="12"/>
  <c r="E165" i="12"/>
  <c r="T164" i="12"/>
  <c r="S164" i="12"/>
  <c r="E164" i="12"/>
  <c r="T163" i="12"/>
  <c r="E163" i="12"/>
  <c r="T160" i="12"/>
  <c r="E160" i="12"/>
  <c r="T159" i="12"/>
  <c r="S159" i="12"/>
  <c r="E159" i="12"/>
  <c r="T158" i="12"/>
  <c r="S158" i="12"/>
  <c r="E158" i="12"/>
  <c r="T157" i="12"/>
  <c r="S157" i="12"/>
  <c r="E157" i="12"/>
  <c r="T156" i="12"/>
  <c r="S156" i="12"/>
  <c r="E156" i="12"/>
  <c r="T155" i="12"/>
  <c r="S155" i="12"/>
  <c r="E155" i="12"/>
  <c r="T154" i="12"/>
  <c r="E154" i="12"/>
  <c r="T153" i="12"/>
  <c r="E153" i="12"/>
  <c r="T152" i="12"/>
  <c r="S152" i="12"/>
  <c r="E152" i="12"/>
  <c r="T151" i="12"/>
  <c r="S151" i="12"/>
  <c r="E151" i="12"/>
  <c r="T150" i="12"/>
  <c r="S150" i="12"/>
  <c r="E150" i="12"/>
  <c r="T149" i="12"/>
  <c r="S149" i="12"/>
  <c r="E149" i="12"/>
  <c r="T148" i="12"/>
  <c r="S148" i="12"/>
  <c r="E148" i="12"/>
  <c r="T147" i="12"/>
  <c r="S147" i="12"/>
  <c r="E147" i="12"/>
  <c r="T146" i="12"/>
  <c r="S146" i="12"/>
  <c r="E146" i="12"/>
  <c r="T145" i="12"/>
  <c r="S145" i="12"/>
  <c r="E145" i="12"/>
  <c r="T144" i="12"/>
  <c r="S144" i="12"/>
  <c r="E144" i="12"/>
  <c r="T143" i="12"/>
  <c r="S143" i="12"/>
  <c r="E143" i="12"/>
  <c r="T142" i="12"/>
  <c r="S142" i="12"/>
  <c r="E142" i="12"/>
  <c r="T141" i="12"/>
  <c r="S141" i="12"/>
  <c r="E141" i="12"/>
  <c r="T140" i="12"/>
  <c r="S140" i="12"/>
  <c r="E140" i="12"/>
  <c r="T139" i="12"/>
  <c r="S139" i="12"/>
  <c r="E139" i="12"/>
  <c r="T138" i="12"/>
  <c r="E138" i="12"/>
  <c r="T137" i="12"/>
  <c r="S137" i="12"/>
  <c r="E137" i="12"/>
  <c r="T134" i="12"/>
  <c r="S134" i="12"/>
  <c r="E134" i="12"/>
  <c r="T133" i="12"/>
  <c r="S133" i="12"/>
  <c r="E133" i="12"/>
  <c r="T132" i="12"/>
  <c r="E132" i="12"/>
  <c r="T131" i="12"/>
  <c r="E131" i="12"/>
  <c r="T130" i="12"/>
  <c r="E130" i="12"/>
  <c r="T129" i="12"/>
  <c r="E129" i="12"/>
  <c r="T128" i="12"/>
  <c r="E128" i="12"/>
  <c r="T127" i="12"/>
  <c r="S127" i="12"/>
  <c r="E127" i="12"/>
  <c r="T126" i="12"/>
  <c r="S126" i="12"/>
  <c r="E126" i="12"/>
  <c r="T125" i="12"/>
  <c r="S125" i="12"/>
  <c r="E125" i="12"/>
  <c r="T124" i="12"/>
  <c r="S124" i="12"/>
  <c r="E124" i="12"/>
  <c r="T123" i="12"/>
  <c r="S123" i="12"/>
  <c r="E123" i="12"/>
  <c r="T122" i="12"/>
  <c r="S122" i="12"/>
  <c r="E122" i="12"/>
  <c r="T121" i="12"/>
  <c r="S121" i="12"/>
  <c r="E121" i="12"/>
  <c r="T120" i="12"/>
  <c r="S120" i="12"/>
  <c r="E120" i="12"/>
  <c r="T117" i="12"/>
  <c r="S117" i="12"/>
  <c r="E117" i="12"/>
  <c r="T116" i="12"/>
  <c r="E116" i="12"/>
  <c r="T115" i="12"/>
  <c r="S115" i="12"/>
  <c r="E115" i="12"/>
  <c r="T114" i="12"/>
  <c r="S114" i="12"/>
  <c r="E114" i="12"/>
  <c r="T113" i="12"/>
  <c r="E113" i="12"/>
  <c r="T112" i="12"/>
  <c r="E112" i="12"/>
  <c r="T111" i="12"/>
  <c r="E111" i="12"/>
  <c r="T110" i="12"/>
  <c r="S110" i="12"/>
  <c r="E110" i="12"/>
  <c r="T109" i="12"/>
  <c r="S109" i="12"/>
  <c r="E109" i="12"/>
  <c r="T108" i="12"/>
  <c r="S108" i="12"/>
  <c r="E108" i="12"/>
  <c r="T107" i="12"/>
  <c r="S107" i="12"/>
  <c r="E107" i="12"/>
  <c r="T106" i="12"/>
  <c r="S106" i="12"/>
  <c r="E106" i="12"/>
  <c r="T105" i="12"/>
  <c r="S105" i="12"/>
  <c r="E105" i="12"/>
  <c r="T104" i="12"/>
  <c r="S104" i="12"/>
  <c r="E104" i="12"/>
  <c r="T103" i="12"/>
  <c r="S103" i="12"/>
  <c r="E103" i="12"/>
  <c r="T102" i="12"/>
  <c r="S102" i="12"/>
  <c r="E102" i="12"/>
  <c r="T101" i="12"/>
  <c r="S101" i="12"/>
  <c r="E101" i="12"/>
  <c r="T100" i="12"/>
  <c r="S100" i="12"/>
  <c r="E100" i="12"/>
  <c r="T99" i="12"/>
  <c r="S99" i="12"/>
  <c r="E99" i="12"/>
  <c r="T98" i="12"/>
  <c r="S98" i="12"/>
  <c r="E98" i="12"/>
  <c r="T97" i="12"/>
  <c r="S97" i="12"/>
  <c r="E97" i="12"/>
  <c r="T96" i="12"/>
  <c r="S96" i="12"/>
  <c r="E96" i="12"/>
  <c r="T95" i="12"/>
  <c r="S95" i="12"/>
  <c r="E95" i="12"/>
  <c r="T94" i="12"/>
  <c r="S94" i="12"/>
  <c r="E94" i="12"/>
  <c r="T93" i="12"/>
  <c r="S93" i="12"/>
  <c r="E93" i="12"/>
  <c r="T92" i="12"/>
  <c r="S92" i="12"/>
  <c r="E92" i="12"/>
  <c r="T91" i="12"/>
  <c r="S91" i="12"/>
  <c r="E91" i="12"/>
  <c r="T90" i="12"/>
  <c r="S90" i="12"/>
  <c r="E90" i="12"/>
  <c r="T89" i="12"/>
  <c r="S89" i="12"/>
  <c r="E89" i="12"/>
  <c r="T88" i="12"/>
  <c r="S88" i="12"/>
  <c r="E88" i="12"/>
  <c r="T85" i="12"/>
  <c r="S85" i="12"/>
  <c r="E85" i="12"/>
  <c r="T84" i="12"/>
  <c r="S84" i="12"/>
  <c r="E84" i="12"/>
  <c r="T83" i="12"/>
  <c r="S83" i="12"/>
  <c r="E83" i="12"/>
  <c r="T82" i="12"/>
  <c r="S82" i="12"/>
  <c r="E82" i="12"/>
  <c r="T81" i="12"/>
  <c r="S81" i="12"/>
  <c r="E81" i="12"/>
  <c r="T80" i="12"/>
  <c r="E80" i="12"/>
  <c r="T79" i="12"/>
  <c r="S79" i="12"/>
  <c r="E79" i="12"/>
  <c r="T78" i="12"/>
  <c r="S78" i="12"/>
  <c r="E78" i="12"/>
  <c r="T77" i="12"/>
  <c r="S77" i="12"/>
  <c r="E77" i="12"/>
  <c r="T76" i="12"/>
  <c r="S76" i="12"/>
  <c r="E76" i="12"/>
  <c r="T75" i="12"/>
  <c r="S75" i="12"/>
  <c r="E75" i="12"/>
  <c r="T74" i="12"/>
  <c r="S74" i="12"/>
  <c r="E74" i="12"/>
  <c r="T73" i="12"/>
  <c r="S73" i="12"/>
  <c r="E73" i="12"/>
  <c r="T72" i="12"/>
  <c r="S72" i="12"/>
  <c r="E72" i="12"/>
  <c r="T71" i="12"/>
  <c r="S71" i="12"/>
  <c r="E71" i="12"/>
  <c r="T70" i="12"/>
  <c r="S70" i="12"/>
  <c r="E70" i="12"/>
  <c r="T69" i="12"/>
  <c r="S69" i="12"/>
  <c r="E69" i="12"/>
  <c r="T68" i="12"/>
  <c r="S68" i="12"/>
  <c r="E68" i="12"/>
  <c r="T67" i="12"/>
  <c r="S67" i="12"/>
  <c r="E67" i="12"/>
  <c r="T66" i="12"/>
  <c r="S66" i="12"/>
  <c r="E66" i="12"/>
  <c r="T63" i="12"/>
  <c r="S63" i="12"/>
  <c r="E63" i="12"/>
  <c r="T62" i="12"/>
  <c r="S62" i="12"/>
  <c r="E62" i="12"/>
  <c r="T61" i="12"/>
  <c r="E61" i="12"/>
  <c r="T60" i="12"/>
  <c r="S60" i="12"/>
  <c r="E60" i="12"/>
  <c r="T59" i="12"/>
  <c r="S59" i="12"/>
  <c r="E59" i="12"/>
  <c r="T58" i="12"/>
  <c r="S58" i="12"/>
  <c r="E58" i="12"/>
  <c r="T57" i="12"/>
  <c r="S57" i="12"/>
  <c r="E57" i="12"/>
  <c r="T56" i="12"/>
  <c r="S56" i="12"/>
  <c r="E56" i="12"/>
  <c r="T55" i="12"/>
  <c r="S55" i="12"/>
  <c r="E55" i="12"/>
  <c r="T54" i="12"/>
  <c r="S54" i="12"/>
  <c r="E54" i="12"/>
  <c r="T51" i="12"/>
  <c r="S51" i="12"/>
  <c r="E51" i="12"/>
  <c r="T50" i="12"/>
  <c r="E50" i="12"/>
  <c r="T49" i="12"/>
  <c r="E49" i="12"/>
  <c r="T48" i="12"/>
  <c r="E48" i="12"/>
  <c r="T47" i="12"/>
  <c r="E47" i="12"/>
  <c r="T46" i="12"/>
  <c r="S46" i="12"/>
  <c r="E46" i="12"/>
  <c r="T45" i="12"/>
  <c r="S45" i="12"/>
  <c r="E45" i="12"/>
  <c r="T44" i="12"/>
  <c r="S44" i="12"/>
  <c r="E44" i="12"/>
  <c r="T43" i="12"/>
  <c r="S43" i="12"/>
  <c r="E43" i="12"/>
  <c r="T42" i="12"/>
  <c r="S42" i="12"/>
  <c r="E42" i="12"/>
  <c r="T41" i="12"/>
  <c r="S41" i="12"/>
  <c r="E41" i="12"/>
  <c r="T38" i="12"/>
  <c r="S38" i="12"/>
  <c r="E38" i="12"/>
  <c r="T35" i="12"/>
  <c r="S35" i="12"/>
  <c r="E35" i="12"/>
  <c r="T34" i="12"/>
  <c r="S34" i="12"/>
  <c r="E34" i="12"/>
  <c r="T31" i="12"/>
  <c r="S31" i="12"/>
  <c r="E31" i="12"/>
  <c r="T30" i="12"/>
  <c r="S30" i="12"/>
  <c r="E30" i="12"/>
  <c r="T29" i="12"/>
  <c r="S29" i="12"/>
  <c r="E29" i="12"/>
  <c r="T28" i="12"/>
  <c r="S28" i="12"/>
  <c r="E28" i="12"/>
  <c r="T25" i="12"/>
  <c r="S25" i="12"/>
  <c r="E25" i="12"/>
  <c r="T24" i="12"/>
  <c r="S24" i="12"/>
  <c r="E24" i="12"/>
  <c r="T23" i="12"/>
  <c r="S23" i="12"/>
  <c r="E23" i="12"/>
  <c r="T22" i="12"/>
  <c r="S22" i="12"/>
  <c r="E22" i="12"/>
  <c r="T19" i="12"/>
  <c r="S19" i="12"/>
  <c r="E19" i="12"/>
  <c r="T18" i="12"/>
  <c r="S18" i="12"/>
  <c r="E18" i="12"/>
  <c r="T15" i="12"/>
  <c r="S15" i="12"/>
  <c r="E15" i="12"/>
  <c r="T14" i="12"/>
  <c r="S14" i="12"/>
  <c r="E14" i="12"/>
  <c r="T11" i="12"/>
  <c r="S11" i="12"/>
  <c r="E11" i="12"/>
  <c r="T10" i="12"/>
  <c r="S10" i="12"/>
  <c r="E10" i="12"/>
  <c r="T9" i="12"/>
  <c r="S9" i="12"/>
  <c r="E9" i="12"/>
  <c r="T6" i="12"/>
  <c r="S6" i="12"/>
  <c r="E6" i="12"/>
  <c r="J33" i="11"/>
  <c r="J32" i="11"/>
  <c r="J31" i="11"/>
  <c r="J28" i="11"/>
  <c r="J27" i="11"/>
  <c r="J26" i="11"/>
  <c r="J25" i="11"/>
  <c r="J24" i="11"/>
  <c r="J21" i="11"/>
  <c r="J20" i="11"/>
  <c r="J19" i="11"/>
  <c r="J18" i="11"/>
  <c r="J17" i="11"/>
  <c r="J14" i="11"/>
  <c r="J11" i="11"/>
  <c r="J10" i="11"/>
  <c r="J7" i="11"/>
  <c r="J6" i="11"/>
  <c r="J43" i="10"/>
  <c r="J42" i="10"/>
  <c r="J39" i="10"/>
  <c r="J38" i="10"/>
  <c r="J35" i="10"/>
  <c r="J34" i="10"/>
  <c r="J33" i="10"/>
  <c r="J32" i="10"/>
  <c r="J29" i="10"/>
  <c r="J28" i="10"/>
  <c r="J27" i="10"/>
  <c r="J26" i="10"/>
  <c r="J25" i="10"/>
  <c r="J22" i="10"/>
  <c r="J21" i="10"/>
  <c r="J20" i="10"/>
  <c r="J19" i="10"/>
  <c r="J16" i="10"/>
  <c r="J15" i="10"/>
  <c r="J12" i="10"/>
  <c r="J11" i="10"/>
  <c r="J8" i="10"/>
  <c r="J7" i="10"/>
  <c r="J6" i="10"/>
  <c r="F19" i="9"/>
  <c r="F16" i="9"/>
  <c r="F15" i="9"/>
  <c r="F14" i="9"/>
  <c r="F13" i="9"/>
  <c r="F12" i="9"/>
  <c r="F11" i="9"/>
  <c r="F10" i="9"/>
  <c r="F6" i="9"/>
  <c r="J37" i="8"/>
  <c r="J34" i="8"/>
  <c r="J33" i="8"/>
  <c r="J32" i="8"/>
  <c r="J29" i="8"/>
  <c r="J28" i="8"/>
  <c r="J25" i="8"/>
  <c r="J24" i="8"/>
  <c r="J23" i="8"/>
  <c r="J22" i="8"/>
  <c r="J21" i="8"/>
  <c r="J18" i="8"/>
  <c r="J15" i="8"/>
  <c r="J14" i="8"/>
  <c r="J11" i="8"/>
  <c r="J10" i="8"/>
  <c r="J7" i="8"/>
  <c r="J6" i="8"/>
  <c r="J30" i="7"/>
  <c r="J27" i="7"/>
  <c r="J26" i="7"/>
  <c r="J22" i="7"/>
  <c r="J19" i="7"/>
  <c r="J18" i="7"/>
  <c r="J17" i="7"/>
  <c r="J16" i="7"/>
  <c r="J13" i="7"/>
  <c r="J12" i="7"/>
  <c r="J9" i="7"/>
  <c r="J6" i="7"/>
  <c r="J44" i="6"/>
  <c r="J43" i="6"/>
  <c r="J40" i="6"/>
  <c r="J39" i="6"/>
  <c r="J38" i="6"/>
  <c r="J35" i="6"/>
  <c r="J34" i="6"/>
  <c r="J33" i="6"/>
  <c r="J30" i="6"/>
  <c r="J29" i="6"/>
  <c r="J28" i="6"/>
  <c r="J25" i="6"/>
  <c r="J24" i="6"/>
  <c r="J23" i="6"/>
  <c r="J20" i="6"/>
  <c r="J19" i="6"/>
  <c r="J18" i="6"/>
  <c r="J17" i="6"/>
  <c r="J14" i="6"/>
  <c r="J13" i="6"/>
  <c r="J12" i="6"/>
  <c r="J11" i="6"/>
  <c r="J6" i="6"/>
  <c r="J63" i="5"/>
  <c r="J62" i="5"/>
  <c r="J61" i="5"/>
  <c r="J60" i="5"/>
  <c r="J59" i="5"/>
  <c r="J56" i="5"/>
  <c r="J55" i="5"/>
  <c r="J54" i="5"/>
  <c r="J52" i="5"/>
  <c r="J49" i="5"/>
  <c r="J48" i="5"/>
  <c r="J47" i="5"/>
  <c r="J46" i="5"/>
  <c r="J45" i="5"/>
  <c r="J44" i="5"/>
  <c r="J43" i="5"/>
  <c r="J40" i="5"/>
  <c r="J39" i="5"/>
  <c r="J38" i="5"/>
  <c r="J37" i="5"/>
  <c r="J36" i="5"/>
  <c r="J35" i="5"/>
  <c r="J34" i="5"/>
  <c r="J33" i="5"/>
  <c r="J30" i="5"/>
  <c r="J29" i="5"/>
  <c r="J26" i="5"/>
  <c r="J25" i="5"/>
  <c r="J24" i="5"/>
  <c r="J23" i="5"/>
  <c r="J20" i="5"/>
  <c r="J17" i="5"/>
  <c r="J16" i="5"/>
  <c r="J15" i="5"/>
  <c r="J12" i="5"/>
  <c r="J11" i="5"/>
  <c r="J10" i="5"/>
  <c r="J9" i="5"/>
  <c r="J6" i="5"/>
</calcChain>
</file>

<file path=xl/sharedStrings.xml><?xml version="1.0" encoding="utf-8"?>
<sst xmlns="http://schemas.openxmlformats.org/spreadsheetml/2006/main" count="26141" uniqueCount="5465">
  <si>
    <t>V Чемпионат мира WRPF
WRPF любители Пауэрлифтинг без экипировки ДК
Москва, 4 - 8 декабря 2019 года</t>
  </si>
  <si>
    <t>Место</t>
  </si>
  <si>
    <t>ФИО</t>
  </si>
  <si>
    <t>Возрастная группа
Дата рождения/Возраст</t>
  </si>
  <si>
    <t>Собственный 
Вес</t>
  </si>
  <si>
    <t>Wilks</t>
  </si>
  <si>
    <t>Город/Страна</t>
  </si>
  <si>
    <t>Приседание</t>
  </si>
  <si>
    <t>Жим лёжа</t>
  </si>
  <si>
    <t>Становая тяга</t>
  </si>
  <si>
    <t>Сумма</t>
  </si>
  <si>
    <t>Очки</t>
  </si>
  <si>
    <t>Тренер</t>
  </si>
  <si>
    <t>Рек</t>
  </si>
  <si>
    <t>ВЕСОВАЯ КАТЕГОРИЯ   44</t>
  </si>
  <si>
    <t>1</t>
  </si>
  <si>
    <t>Кунтишева Кристина</t>
  </si>
  <si>
    <t>Девушки 14-16 (07.05.2006)/13</t>
  </si>
  <si>
    <t>41,30</t>
  </si>
  <si>
    <t xml:space="preserve">RUS/Терек </t>
  </si>
  <si>
    <t>35,0</t>
  </si>
  <si>
    <t>40,0</t>
  </si>
  <si>
    <t>42,5</t>
  </si>
  <si>
    <t>22,5</t>
  </si>
  <si>
    <t>25,0</t>
  </si>
  <si>
    <t>55,0</t>
  </si>
  <si>
    <t>60,0</t>
  </si>
  <si>
    <t xml:space="preserve">Унежев В. </t>
  </si>
  <si>
    <t>Шарынкина Светлана</t>
  </si>
  <si>
    <t>Открытая (27.06.1995)/24</t>
  </si>
  <si>
    <t>43,80</t>
  </si>
  <si>
    <t xml:space="preserve">RUS/Фрязино </t>
  </si>
  <si>
    <t>65,0</t>
  </si>
  <si>
    <t>70,0</t>
  </si>
  <si>
    <t>52,5</t>
  </si>
  <si>
    <t>57,5</t>
  </si>
  <si>
    <t>90,0</t>
  </si>
  <si>
    <t>95,0</t>
  </si>
  <si>
    <t>100,0</t>
  </si>
  <si>
    <t xml:space="preserve">Моргулец Д. </t>
  </si>
  <si>
    <t/>
  </si>
  <si>
    <t>ВЕСОВАЯ КАТЕГОРИЯ   48</t>
  </si>
  <si>
    <t>Павленко Вероника</t>
  </si>
  <si>
    <t>Девушки 14-16 (14.10.2003)/16</t>
  </si>
  <si>
    <t>48,00</t>
  </si>
  <si>
    <t xml:space="preserve">RUS/Новочеркасск </t>
  </si>
  <si>
    <t>102,5</t>
  </si>
  <si>
    <t>107,5</t>
  </si>
  <si>
    <t>62,5</t>
  </si>
  <si>
    <t>105,0</t>
  </si>
  <si>
    <t xml:space="preserve">Пахучий А. </t>
  </si>
  <si>
    <t>Дегтярева Юлия</t>
  </si>
  <si>
    <t>Открытая (08.09.1990)/29</t>
  </si>
  <si>
    <t>47,80</t>
  </si>
  <si>
    <t xml:space="preserve">RUS/Зеленоград </t>
  </si>
  <si>
    <t>112,5</t>
  </si>
  <si>
    <t>115,0</t>
  </si>
  <si>
    <t>67,5</t>
  </si>
  <si>
    <t>140,0</t>
  </si>
  <si>
    <t>145,0</t>
  </si>
  <si>
    <t>150,0</t>
  </si>
  <si>
    <t xml:space="preserve">Сакович О. </t>
  </si>
  <si>
    <t>2</t>
  </si>
  <si>
    <t>Товпеко Юлия</t>
  </si>
  <si>
    <t>Открытая (13.07.1994)/25</t>
  </si>
  <si>
    <t>46,40</t>
  </si>
  <si>
    <t xml:space="preserve">RUS/Владивосток </t>
  </si>
  <si>
    <t>85,0</t>
  </si>
  <si>
    <t>92,5</t>
  </si>
  <si>
    <t>110,0</t>
  </si>
  <si>
    <t>120,0</t>
  </si>
  <si>
    <t>130,0</t>
  </si>
  <si>
    <t xml:space="preserve">Авдошкин Г. </t>
  </si>
  <si>
    <t>3</t>
  </si>
  <si>
    <t>Открытая (14.10.2003)/16</t>
  </si>
  <si>
    <t>4</t>
  </si>
  <si>
    <t>Полякова Наталья</t>
  </si>
  <si>
    <t>Открытая (18.07.1982)/37</t>
  </si>
  <si>
    <t>47,90</t>
  </si>
  <si>
    <t xml:space="preserve">RUS/Котлас </t>
  </si>
  <si>
    <t>75,0</t>
  </si>
  <si>
    <t>80,0</t>
  </si>
  <si>
    <t>45,0</t>
  </si>
  <si>
    <t>47,5</t>
  </si>
  <si>
    <t>117,5</t>
  </si>
  <si>
    <t>127,5</t>
  </si>
  <si>
    <t xml:space="preserve">Павлов Д. </t>
  </si>
  <si>
    <t>5</t>
  </si>
  <si>
    <t>Лопухова Мария</t>
  </si>
  <si>
    <t>Открытая (07.12.1997)/21</t>
  </si>
  <si>
    <t>47,60</t>
  </si>
  <si>
    <t xml:space="preserve">RUS/Москва </t>
  </si>
  <si>
    <t>-</t>
  </si>
  <si>
    <t>Калякина Ольга</t>
  </si>
  <si>
    <t>Открытая (03.12.1995)/24</t>
  </si>
  <si>
    <t>46,70</t>
  </si>
  <si>
    <t xml:space="preserve">RUS/Пятигорск </t>
  </si>
  <si>
    <t xml:space="preserve">Бабенок А. </t>
  </si>
  <si>
    <t>ВЕСОВАЯ КАТЕГОРИЯ   52</t>
  </si>
  <si>
    <t>Бабакина Юлия</t>
  </si>
  <si>
    <t>Девушки 14-16 (12.10.2005)/14</t>
  </si>
  <si>
    <t>49,90</t>
  </si>
  <si>
    <t xml:space="preserve">RUS/Славянск-на-Кубани </t>
  </si>
  <si>
    <t>50,0</t>
  </si>
  <si>
    <t>77,5</t>
  </si>
  <si>
    <t xml:space="preserve">Шеховцов А. </t>
  </si>
  <si>
    <t>Гетажеева Асана</t>
  </si>
  <si>
    <t>Юниорки (31.12.1998)/20</t>
  </si>
  <si>
    <t>52,00</t>
  </si>
  <si>
    <t xml:space="preserve">RUS/Нальчик </t>
  </si>
  <si>
    <t>97,5</t>
  </si>
  <si>
    <t xml:space="preserve">Губжев Б. </t>
  </si>
  <si>
    <t>Гуна Тейлане</t>
  </si>
  <si>
    <t>Открытая (14.05.1991)/28</t>
  </si>
  <si>
    <t>51,60</t>
  </si>
  <si>
    <t>LVA/Резекне</t>
  </si>
  <si>
    <t xml:space="preserve">Эдгарс Р. </t>
  </si>
  <si>
    <t>Кропотова Анастасия</t>
  </si>
  <si>
    <t>Открытая (30.01.1994)/25</t>
  </si>
  <si>
    <t xml:space="preserve">RUS/Киров </t>
  </si>
  <si>
    <t>87,5</t>
  </si>
  <si>
    <t xml:space="preserve">Дудинец А. </t>
  </si>
  <si>
    <t>Важенина Ольга</t>
  </si>
  <si>
    <t>Открытая (25.09.1988)/31</t>
  </si>
  <si>
    <t>51,40</t>
  </si>
  <si>
    <t xml:space="preserve">RUS/Тюмень </t>
  </si>
  <si>
    <t xml:space="preserve">Мацько И. </t>
  </si>
  <si>
    <t>Добровольская Александра</t>
  </si>
  <si>
    <t>Открытая (19.08.1989)/30</t>
  </si>
  <si>
    <t xml:space="preserve">RUS/Великий Новгород </t>
  </si>
  <si>
    <t xml:space="preserve">Друкер В. </t>
  </si>
  <si>
    <t>Петрова Милада</t>
  </si>
  <si>
    <t>Открытая (29.04.1986)/33</t>
  </si>
  <si>
    <t>51,10</t>
  </si>
  <si>
    <t xml:space="preserve">RUS/Надым </t>
  </si>
  <si>
    <t>37,5</t>
  </si>
  <si>
    <t xml:space="preserve">Коломыцев М. </t>
  </si>
  <si>
    <t>Шеховцова Инга</t>
  </si>
  <si>
    <t>Мастера 40-49 (18.04.1976)/43</t>
  </si>
  <si>
    <t>49,30</t>
  </si>
  <si>
    <t>72,5</t>
  </si>
  <si>
    <t>ВЕСОВАЯ КАТЕГОРИЯ   56</t>
  </si>
  <si>
    <t>Власова Алёна</t>
  </si>
  <si>
    <t>Открытая (19.09.1984)/35</t>
  </si>
  <si>
    <t>55,20</t>
  </si>
  <si>
    <t>125,0</t>
  </si>
  <si>
    <t>82,5</t>
  </si>
  <si>
    <t>137,5</t>
  </si>
  <si>
    <t>Пахучая Оксана</t>
  </si>
  <si>
    <t>Открытая (19.09.1978)/41</t>
  </si>
  <si>
    <t>56,00</t>
  </si>
  <si>
    <t>160,0</t>
  </si>
  <si>
    <t>165,0</t>
  </si>
  <si>
    <t>Овчинникова Татьяна</t>
  </si>
  <si>
    <t>Открытая (15.07.1989)/30</t>
  </si>
  <si>
    <t>54,20</t>
  </si>
  <si>
    <t xml:space="preserve">RUS/Ярославль </t>
  </si>
  <si>
    <t>132,5</t>
  </si>
  <si>
    <t xml:space="preserve">Самостоятельно </t>
  </si>
  <si>
    <t>Громова Марина</t>
  </si>
  <si>
    <t>Открытая (17.11.1994)/25</t>
  </si>
  <si>
    <t>53,90</t>
  </si>
  <si>
    <t>122,5</t>
  </si>
  <si>
    <t>Юсупова Роза</t>
  </si>
  <si>
    <t>Открытая (01.04.1981)/38</t>
  </si>
  <si>
    <t>55,70</t>
  </si>
  <si>
    <t xml:space="preserve">RUS/Саратов </t>
  </si>
  <si>
    <t xml:space="preserve">Горбачев Г. </t>
  </si>
  <si>
    <t>6</t>
  </si>
  <si>
    <t>Кушнерчук Карина</t>
  </si>
  <si>
    <t>Открытая (26.02.1993)/26</t>
  </si>
  <si>
    <t xml:space="preserve">Здобников Н. </t>
  </si>
  <si>
    <t>7</t>
  </si>
  <si>
    <t>Sadirina Lyudmila</t>
  </si>
  <si>
    <t>Открытая (17.05.1991)/28</t>
  </si>
  <si>
    <t>55,30</t>
  </si>
  <si>
    <t xml:space="preserve">AZE/Баку </t>
  </si>
  <si>
    <t xml:space="preserve">Hasrat M. </t>
  </si>
  <si>
    <t>8</t>
  </si>
  <si>
    <t>Балякина Евгения</t>
  </si>
  <si>
    <t>Открытая (15.12.1990)/28</t>
  </si>
  <si>
    <t>54,50</t>
  </si>
  <si>
    <t xml:space="preserve">Собко М. </t>
  </si>
  <si>
    <t>9</t>
  </si>
  <si>
    <t>Острейко Ольга</t>
  </si>
  <si>
    <t>Открытая (13.09.1994)/25</t>
  </si>
  <si>
    <t>10</t>
  </si>
  <si>
    <t>Гордеева Анастасия</t>
  </si>
  <si>
    <t>Открытая (29.12.1988)/30</t>
  </si>
  <si>
    <t>55,50</t>
  </si>
  <si>
    <t>Мастера 40-49 (19.09.1978)/41</t>
  </si>
  <si>
    <t>Баюкова Елена</t>
  </si>
  <si>
    <t>Мастера 40-49 (26.02.1970)/49</t>
  </si>
  <si>
    <t>54,80</t>
  </si>
  <si>
    <t xml:space="preserve">Шилкин Н. </t>
  </si>
  <si>
    <t>ВЕСОВАЯ КАТЕГОРИЯ   60</t>
  </si>
  <si>
    <t>Шипилова Мария</t>
  </si>
  <si>
    <t>Девушки 14-16 (19.02.2004)/15</t>
  </si>
  <si>
    <t>59,40</t>
  </si>
  <si>
    <t xml:space="preserve">Сосо Г. </t>
  </si>
  <si>
    <t>Губенко Юлия</t>
  </si>
  <si>
    <t>Открытая (20.09.1977)/42</t>
  </si>
  <si>
    <t>60,00</t>
  </si>
  <si>
    <t xml:space="preserve">RUS/Десногорск </t>
  </si>
  <si>
    <t>147,5</t>
  </si>
  <si>
    <t>155,0</t>
  </si>
  <si>
    <t>Щеткова Ольга</t>
  </si>
  <si>
    <t>Открытая (30.09.1993)/26</t>
  </si>
  <si>
    <t>59,10</t>
  </si>
  <si>
    <t>135,0</t>
  </si>
  <si>
    <t>Качан Ярослава</t>
  </si>
  <si>
    <t>Открытая (03.03.1990)/29</t>
  </si>
  <si>
    <t>59,20</t>
  </si>
  <si>
    <t xml:space="preserve">Качан С. </t>
  </si>
  <si>
    <t>Ушкова Валерия</t>
  </si>
  <si>
    <t>Открытая (07.10.1992)/27</t>
  </si>
  <si>
    <t>58,90</t>
  </si>
  <si>
    <t>Кушнир Анастасия</t>
  </si>
  <si>
    <t>Открытая (05.11.1993)/26</t>
  </si>
  <si>
    <t>59,00</t>
  </si>
  <si>
    <t>Ястребкова Оксана</t>
  </si>
  <si>
    <t>Открытая (30.05.1990)/29</t>
  </si>
  <si>
    <t xml:space="preserve">RUS/Рязань </t>
  </si>
  <si>
    <t xml:space="preserve">Бондарев П. </t>
  </si>
  <si>
    <t>Мищенко Тамара</t>
  </si>
  <si>
    <t>Открытая (27.06.1988)/31</t>
  </si>
  <si>
    <t>56,90</t>
  </si>
  <si>
    <t xml:space="preserve">RUS/Балашиха </t>
  </si>
  <si>
    <t xml:space="preserve">Емельянов К. </t>
  </si>
  <si>
    <t>Голбан Александра</t>
  </si>
  <si>
    <t>Открытая (08.08.1999)/20</t>
  </si>
  <si>
    <t>58,50</t>
  </si>
  <si>
    <t xml:space="preserve">RUS/Химки </t>
  </si>
  <si>
    <t>Стрельникова Екатерина</t>
  </si>
  <si>
    <t>Открытая (26.02.1987)/32</t>
  </si>
  <si>
    <t>59,30</t>
  </si>
  <si>
    <t xml:space="preserve">Боломожнов М. </t>
  </si>
  <si>
    <t>Мастера 40-49 (20.09.1977)/42</t>
  </si>
  <si>
    <t>Емелёва Елена</t>
  </si>
  <si>
    <t>Мастера 40-49 (11.07.1976)/43</t>
  </si>
  <si>
    <t xml:space="preserve">RUS/Шарья </t>
  </si>
  <si>
    <t>ВЕСОВАЯ КАТЕГОРИЯ   67.5</t>
  </si>
  <si>
    <t>Смирнова Лада</t>
  </si>
  <si>
    <t>Девушки 14-16 (23.11.2004)/15</t>
  </si>
  <si>
    <t>64,70</t>
  </si>
  <si>
    <t>Никонова Екатерина</t>
  </si>
  <si>
    <t>Открытая (15.09.1984)/35</t>
  </si>
  <si>
    <t>64,10</t>
  </si>
  <si>
    <t>170,0</t>
  </si>
  <si>
    <t xml:space="preserve">Гетманчук А. </t>
  </si>
  <si>
    <t>Косенко Екатерина</t>
  </si>
  <si>
    <t>Открытая (24.02.1978)/41</t>
  </si>
  <si>
    <t>65,50</t>
  </si>
  <si>
    <t xml:space="preserve">RUS/Армавир </t>
  </si>
  <si>
    <t>157,5</t>
  </si>
  <si>
    <t xml:space="preserve">Кашпаров Д. </t>
  </si>
  <si>
    <t>Воскобойникова Виктория</t>
  </si>
  <si>
    <t>Открытая (23.06.1982)/37</t>
  </si>
  <si>
    <t>65,70</t>
  </si>
  <si>
    <t>Сайфулина Наталья</t>
  </si>
  <si>
    <t>Открытая (14.01.1982)/37</t>
  </si>
  <si>
    <t>65,90</t>
  </si>
  <si>
    <t xml:space="preserve">RUS/Норильск </t>
  </si>
  <si>
    <t xml:space="preserve">Сайфулин А. </t>
  </si>
  <si>
    <t>Кузнецова Наталья</t>
  </si>
  <si>
    <t>Открытая (19.08.1992)/27</t>
  </si>
  <si>
    <t xml:space="preserve">RUS/Ногинск </t>
  </si>
  <si>
    <t>Осмак Светлана</t>
  </si>
  <si>
    <t>Открытая (08.02.1984)/35</t>
  </si>
  <si>
    <t>61,20</t>
  </si>
  <si>
    <t xml:space="preserve">BGR/Sofia </t>
  </si>
  <si>
    <t>Сергеева Ксения</t>
  </si>
  <si>
    <t>Открытая (05.08.1991)/28</t>
  </si>
  <si>
    <t>65,60</t>
  </si>
  <si>
    <t xml:space="preserve">Кузнецова Н. </t>
  </si>
  <si>
    <t>Балашова Мария</t>
  </si>
  <si>
    <t>Открытая (02.12.1986)/33</t>
  </si>
  <si>
    <t>63,40</t>
  </si>
  <si>
    <t xml:space="preserve">RUS/Нижний Новгород </t>
  </si>
  <si>
    <t>Шпаковская Галина</t>
  </si>
  <si>
    <t>Открытая (21.10.1986)/33</t>
  </si>
  <si>
    <t>63,60</t>
  </si>
  <si>
    <t>Остапенко Елена</t>
  </si>
  <si>
    <t>Открытая (21.04.1993)/26</t>
  </si>
  <si>
    <t>60,80</t>
  </si>
  <si>
    <t xml:space="preserve">RUS/Белогорск </t>
  </si>
  <si>
    <t xml:space="preserve">Михайлутин Н. </t>
  </si>
  <si>
    <t>Ядрихинская Мария</t>
  </si>
  <si>
    <t>Открытая (09.07.1982)/37</t>
  </si>
  <si>
    <t>66,40</t>
  </si>
  <si>
    <t xml:space="preserve">RUS/Снежинск </t>
  </si>
  <si>
    <t>Волощук Елизавета</t>
  </si>
  <si>
    <t>Открытая (30.07.1995)/24</t>
  </si>
  <si>
    <t>67,20</t>
  </si>
  <si>
    <t xml:space="preserve">RUS/Московский </t>
  </si>
  <si>
    <t>Мастера 40-49 (24.02.1978)/41</t>
  </si>
  <si>
    <t>Щербинина Марина</t>
  </si>
  <si>
    <t>Мастера 40-49 (16.11.1979)/40</t>
  </si>
  <si>
    <t>63,70</t>
  </si>
  <si>
    <t xml:space="preserve">RUS/Лобня </t>
  </si>
  <si>
    <t xml:space="preserve">Сизов Е. </t>
  </si>
  <si>
    <t>ВЕСОВАЯ КАТЕГОРИЯ   75</t>
  </si>
  <si>
    <t>Стародубова Дарья</t>
  </si>
  <si>
    <t>Девушки 14-16 (27.09.2004)/15</t>
  </si>
  <si>
    <t>70,30</t>
  </si>
  <si>
    <t xml:space="preserve">Кабишов С. </t>
  </si>
  <si>
    <t>Shah Roma</t>
  </si>
  <si>
    <t>Юниорки (07.06.1998)/21</t>
  </si>
  <si>
    <t>74,90</t>
  </si>
  <si>
    <t xml:space="preserve">IND/Surat </t>
  </si>
  <si>
    <t xml:space="preserve">Yazad B. </t>
  </si>
  <si>
    <t>Lutsch Alexandra</t>
  </si>
  <si>
    <t>Открытая (11.07.1994)/25</t>
  </si>
  <si>
    <t>74,80</t>
  </si>
  <si>
    <t xml:space="preserve">AUT/Salzburg </t>
  </si>
  <si>
    <t xml:space="preserve">Schorgenhuber А. </t>
  </si>
  <si>
    <t>Открытая (07.06.1998)/21</t>
  </si>
  <si>
    <t>Малышева Евгения</t>
  </si>
  <si>
    <t>Открытая (09.04.1984)/35</t>
  </si>
  <si>
    <t>68,30</t>
  </si>
  <si>
    <t>Коломыцев М.</t>
  </si>
  <si>
    <t>Бондаренко Ксения</t>
  </si>
  <si>
    <t>Открытая (16.06.1986)/33</t>
  </si>
  <si>
    <t>74,50</t>
  </si>
  <si>
    <t xml:space="preserve">Виноградов В. </t>
  </si>
  <si>
    <t>Гурякова Анастасия</t>
  </si>
  <si>
    <t>Открытая (25.02.1991)/28</t>
  </si>
  <si>
    <t>72,50</t>
  </si>
  <si>
    <t xml:space="preserve">Исаков Е. </t>
  </si>
  <si>
    <t>Третьякова Аксана</t>
  </si>
  <si>
    <t>Мастера 50-59 (19.03.1965)/54</t>
  </si>
  <si>
    <t>75,00</t>
  </si>
  <si>
    <t xml:space="preserve"> RUS/Электросталь</t>
  </si>
  <si>
    <t xml:space="preserve">Черепков А. </t>
  </si>
  <si>
    <t>ВЕСОВАЯ КАТЕГОРИЯ   82.5</t>
  </si>
  <si>
    <t>Дармограй Вероника</t>
  </si>
  <si>
    <t>Открытая (08.03.1994)/25</t>
  </si>
  <si>
    <t>79,40</t>
  </si>
  <si>
    <t xml:space="preserve">RUS/Почеп </t>
  </si>
  <si>
    <t>Маммадов Фаиг</t>
  </si>
  <si>
    <t>Юноши 14-16 (05.03.2003)/16</t>
  </si>
  <si>
    <t>50,80</t>
  </si>
  <si>
    <t>152,5</t>
  </si>
  <si>
    <t xml:space="preserve">Мусаев Р. </t>
  </si>
  <si>
    <t>Шахпазов Расим</t>
  </si>
  <si>
    <t>Открытая (10.10.1991)/28</t>
  </si>
  <si>
    <t>142,5</t>
  </si>
  <si>
    <t>167,5</t>
  </si>
  <si>
    <t>Бердимуратов Ойбек</t>
  </si>
  <si>
    <t>Юниоры (22.04.1999)/20</t>
  </si>
  <si>
    <t xml:space="preserve">TJK/Пенджикент </t>
  </si>
  <si>
    <t>175,0</t>
  </si>
  <si>
    <t xml:space="preserve">Самадов М. </t>
  </si>
  <si>
    <t>Абишев Мирас</t>
  </si>
  <si>
    <t>Юноши 14-16 (07.01.2003)/16</t>
  </si>
  <si>
    <t>62,30</t>
  </si>
  <si>
    <t xml:space="preserve">KAZ/Актюбинск </t>
  </si>
  <si>
    <t>Сметанкин Алексей</t>
  </si>
  <si>
    <t>Юноши 14-16 (26.09.2009)/10</t>
  </si>
  <si>
    <t>60,90</t>
  </si>
  <si>
    <t xml:space="preserve">Туляков Н. </t>
  </si>
  <si>
    <t>Скворцов Александр</t>
  </si>
  <si>
    <t>Юноши 14-16 (16.01.2004)/15</t>
  </si>
  <si>
    <t>64,80</t>
  </si>
  <si>
    <t xml:space="preserve">RUS/Серпухов </t>
  </si>
  <si>
    <t>Гончаров Максим</t>
  </si>
  <si>
    <t>Юноши 17-19 (01.04.2001)/18</t>
  </si>
  <si>
    <t>66,60</t>
  </si>
  <si>
    <t>185,0</t>
  </si>
  <si>
    <t>Баштаров Максим</t>
  </si>
  <si>
    <t>Юноши 17-19 (25.06.2002)/17</t>
  </si>
  <si>
    <t>Схвитаридзе Тамерлан</t>
  </si>
  <si>
    <t>Юноши 17-19 (07.08.2001)/18</t>
  </si>
  <si>
    <t>67,10</t>
  </si>
  <si>
    <t>200,0</t>
  </si>
  <si>
    <t>Сюсин Иван</t>
  </si>
  <si>
    <t>Юниоры (18.01.1996)/23</t>
  </si>
  <si>
    <t>66,30</t>
  </si>
  <si>
    <t xml:space="preserve">RUS/Тольятти </t>
  </si>
  <si>
    <t xml:space="preserve">Луговой А. </t>
  </si>
  <si>
    <t>Ларюшкин Игорь</t>
  </si>
  <si>
    <t>Открытая (15.09.1992)/27</t>
  </si>
  <si>
    <t xml:space="preserve">RUS/Питкяранта </t>
  </si>
  <si>
    <t>195,0</t>
  </si>
  <si>
    <t>210,0</t>
  </si>
  <si>
    <t>222,5</t>
  </si>
  <si>
    <t xml:space="preserve">Николаев Д. </t>
  </si>
  <si>
    <t>Открытая (25.06.2002)/17</t>
  </si>
  <si>
    <t>Сухов Кирилл</t>
  </si>
  <si>
    <t>Юноши 14-16 (02.03.2005)/14</t>
  </si>
  <si>
    <t>73,90</t>
  </si>
  <si>
    <t xml:space="preserve">RUS/Рошаль </t>
  </si>
  <si>
    <t>190,0</t>
  </si>
  <si>
    <t xml:space="preserve">Мазуркевич М. </t>
  </si>
  <si>
    <t>Краев Глеб</t>
  </si>
  <si>
    <t>Юноши 17-19 (22.08.2001)/18</t>
  </si>
  <si>
    <t>73,10</t>
  </si>
  <si>
    <t xml:space="preserve"> RUS/Волгоград </t>
  </si>
  <si>
    <t>180,0</t>
  </si>
  <si>
    <t>205,0</t>
  </si>
  <si>
    <t>Хадзиев Магомет</t>
  </si>
  <si>
    <t>Юноши 17-19 (20.06.2002)/17</t>
  </si>
  <si>
    <t>72,70</t>
  </si>
  <si>
    <t xml:space="preserve">RUS/Назрань </t>
  </si>
  <si>
    <t>Талпа Стэфан</t>
  </si>
  <si>
    <t>Юноши 17-19 (14.08.2001)/18</t>
  </si>
  <si>
    <t>71,40</t>
  </si>
  <si>
    <t xml:space="preserve"> RUS/Ростов-на-Дону</t>
  </si>
  <si>
    <t xml:space="preserve">Карпенко А. </t>
  </si>
  <si>
    <t>Кухаренко Даниил</t>
  </si>
  <si>
    <t>Юноши 17-19 (03.10.2001)/18</t>
  </si>
  <si>
    <t>69,30</t>
  </si>
  <si>
    <t>Shah Abhishek</t>
  </si>
  <si>
    <t>Юноши 17-19 (08.06.2002)/17</t>
  </si>
  <si>
    <t>Артемьев Егор</t>
  </si>
  <si>
    <t>Юноши 17-19 (02.10.2002)/17</t>
  </si>
  <si>
    <t>73,20</t>
  </si>
  <si>
    <t>Ivanov Ivan</t>
  </si>
  <si>
    <t>Юниоры (13.08.1996)/23</t>
  </si>
  <si>
    <t>74,40</t>
  </si>
  <si>
    <t>220,0</t>
  </si>
  <si>
    <t>230,0</t>
  </si>
  <si>
    <t>240,0</t>
  </si>
  <si>
    <t>Мордвинов Дмитрий</t>
  </si>
  <si>
    <t>Юниоры (10.12.1998)/20</t>
  </si>
  <si>
    <t>70,40</t>
  </si>
  <si>
    <t xml:space="preserve"> RUS/Санкт-Петербург</t>
  </si>
  <si>
    <t>162,5</t>
  </si>
  <si>
    <t xml:space="preserve">Ивачев А. </t>
  </si>
  <si>
    <t>Здобников Никита</t>
  </si>
  <si>
    <t>Открытая (20.04.1982)/37</t>
  </si>
  <si>
    <t>252,5</t>
  </si>
  <si>
    <t>Плескач Дмитрий</t>
  </si>
  <si>
    <t>Открытая (31.07.1988)/31</t>
  </si>
  <si>
    <t>74,60</t>
  </si>
  <si>
    <t xml:space="preserve">BLR/Могилев </t>
  </si>
  <si>
    <t>215,0</t>
  </si>
  <si>
    <t>242,5</t>
  </si>
  <si>
    <t>Дурнов Роман</t>
  </si>
  <si>
    <t>Открытая (23.09.1986)/33</t>
  </si>
  <si>
    <t>74,30</t>
  </si>
  <si>
    <t>217,5</t>
  </si>
  <si>
    <t>225,0</t>
  </si>
  <si>
    <t>Открытая (13.08.1996)/23</t>
  </si>
  <si>
    <t>Коломыцев Михаил</t>
  </si>
  <si>
    <t>Открытая (21.06.1989)/30</t>
  </si>
  <si>
    <t>73,00</t>
  </si>
  <si>
    <t xml:space="preserve">Смирнов Д. </t>
  </si>
  <si>
    <t>Открытая (08.06.2002)/17</t>
  </si>
  <si>
    <t>Карпов Евгений</t>
  </si>
  <si>
    <t>Мастера 40-49 (26.10.1979)/40</t>
  </si>
  <si>
    <t>73,30</t>
  </si>
  <si>
    <t>177,5</t>
  </si>
  <si>
    <t>187,5</t>
  </si>
  <si>
    <t>192,5</t>
  </si>
  <si>
    <t>207,5</t>
  </si>
  <si>
    <t>Глубшев Александр</t>
  </si>
  <si>
    <t>Мастера 50-59 (08.03.1966)/53</t>
  </si>
  <si>
    <t>182,5</t>
  </si>
  <si>
    <t>235,0</t>
  </si>
  <si>
    <t>Zhakin Vladimir</t>
  </si>
  <si>
    <t>Мастера 60-69 (15.09.1952)/67</t>
  </si>
  <si>
    <t>Фомушкин Павел</t>
  </si>
  <si>
    <t>Юноши 14-16 (18.10.2004)/15</t>
  </si>
  <si>
    <t>75,40</t>
  </si>
  <si>
    <t xml:space="preserve">  RUS/Рязань</t>
  </si>
  <si>
    <t>Репсаев Дмитрий</t>
  </si>
  <si>
    <t>Юноши 14-16 (12.01.2004)/15</t>
  </si>
  <si>
    <t>81,60</t>
  </si>
  <si>
    <t xml:space="preserve"> RUS/Рязань</t>
  </si>
  <si>
    <t>Терещенко Илья</t>
  </si>
  <si>
    <t>Юноши 14-16 (06.02.2003)/16</t>
  </si>
  <si>
    <t>76,10</t>
  </si>
  <si>
    <t xml:space="preserve">RUS/Кингисепп </t>
  </si>
  <si>
    <t xml:space="preserve">Лузанов А. </t>
  </si>
  <si>
    <t>Демидов Егор</t>
  </si>
  <si>
    <t>Юноши 14-16 (20.08.2003)/16</t>
  </si>
  <si>
    <t>80,80</t>
  </si>
  <si>
    <t xml:space="preserve">Буянов Е. </t>
  </si>
  <si>
    <t>Колчушкин Захар</t>
  </si>
  <si>
    <t>Юноши 17-19 (17.11.2000)/19</t>
  </si>
  <si>
    <t>80,00</t>
  </si>
  <si>
    <t xml:space="preserve">Шуров А. </t>
  </si>
  <si>
    <t>Карданов Астемир</t>
  </si>
  <si>
    <t>Юноши 17-19 (12.06.2000)/19</t>
  </si>
  <si>
    <t>80,60</t>
  </si>
  <si>
    <t>Мотков Владимир</t>
  </si>
  <si>
    <t>Юниоры (14.10.1997)/22</t>
  </si>
  <si>
    <t>79,90</t>
  </si>
  <si>
    <t xml:space="preserve">RUS/Первомайский </t>
  </si>
  <si>
    <t>250,0</t>
  </si>
  <si>
    <t>265,0</t>
  </si>
  <si>
    <t xml:space="preserve">Крючков А. </t>
  </si>
  <si>
    <t>Самойлов Максим</t>
  </si>
  <si>
    <t>Юниоры (04.05.1996)/23</t>
  </si>
  <si>
    <t>212,5</t>
  </si>
  <si>
    <t>Бодров Артем</t>
  </si>
  <si>
    <t>Юниоры (07.02.1999)/20</t>
  </si>
  <si>
    <t>80,50</t>
  </si>
  <si>
    <t xml:space="preserve">Зухайриев Б. </t>
  </si>
  <si>
    <t>Власов Виталий</t>
  </si>
  <si>
    <t>Юниоры (18.12.1996)/22</t>
  </si>
  <si>
    <t>81,20</t>
  </si>
  <si>
    <t>Gurbanov Fardi</t>
  </si>
  <si>
    <t>Юниоры (06.07.1998)/21</t>
  </si>
  <si>
    <t xml:space="preserve"> AZE/Баку</t>
  </si>
  <si>
    <t>197,5</t>
  </si>
  <si>
    <t>227,5</t>
  </si>
  <si>
    <t>232,5</t>
  </si>
  <si>
    <t xml:space="preserve">Elchin M. </t>
  </si>
  <si>
    <t>Захаров Никита</t>
  </si>
  <si>
    <t>Юниоры (31.08.1998)/21</t>
  </si>
  <si>
    <t>80,70</t>
  </si>
  <si>
    <t xml:space="preserve">RUS/Ульяновск </t>
  </si>
  <si>
    <t>Хаутиев Магомет</t>
  </si>
  <si>
    <t>Юниоры (18.11.1998)/21</t>
  </si>
  <si>
    <t>82,20</t>
  </si>
  <si>
    <t xml:space="preserve">Тумгоев Р. </t>
  </si>
  <si>
    <t>Открытая (14.10.1997)/22</t>
  </si>
  <si>
    <t>Литовкин Дмитрий</t>
  </si>
  <si>
    <t>Открытая (13.12.1987)/31</t>
  </si>
  <si>
    <t>81,40</t>
  </si>
  <si>
    <t xml:space="preserve">BLR/Гомель </t>
  </si>
  <si>
    <t>260,0</t>
  </si>
  <si>
    <t xml:space="preserve">Нарскин А. </t>
  </si>
  <si>
    <t>Успанов Байсангур</t>
  </si>
  <si>
    <t>Открытая (20.03.1990)/29</t>
  </si>
  <si>
    <t>80,30</t>
  </si>
  <si>
    <t xml:space="preserve">RUS/Ставрополь </t>
  </si>
  <si>
    <t>255,0</t>
  </si>
  <si>
    <t xml:space="preserve">Абдуллаев Э. </t>
  </si>
  <si>
    <t>Филиппов Андрей</t>
  </si>
  <si>
    <t>Открытая (10.06.1989)/30</t>
  </si>
  <si>
    <t xml:space="preserve">RUS/Хвалынск </t>
  </si>
  <si>
    <t>Крыжановский Александр</t>
  </si>
  <si>
    <t>Открытая (04.12.1991)/28</t>
  </si>
  <si>
    <t>82,10</t>
  </si>
  <si>
    <t>Лянгузов Дмитрий</t>
  </si>
  <si>
    <t>Открытая (15.11.1988)/31</t>
  </si>
  <si>
    <t>81,90</t>
  </si>
  <si>
    <t xml:space="preserve">RUS/Екатеринбург </t>
  </si>
  <si>
    <t xml:space="preserve">Рек А. </t>
  </si>
  <si>
    <t>Открытая (06.07.1998)/21</t>
  </si>
  <si>
    <t xml:space="preserve">  AZE/Баку</t>
  </si>
  <si>
    <t>Хусеинов Даниил</t>
  </si>
  <si>
    <t>Открытая (11.11.1994)/25</t>
  </si>
  <si>
    <t>80,20</t>
  </si>
  <si>
    <t xml:space="preserve">RUS/Энгельс </t>
  </si>
  <si>
    <t>Кобзев Кирилл</t>
  </si>
  <si>
    <t>Открытая (02.06.1990)/29</t>
  </si>
  <si>
    <t>172,5</t>
  </si>
  <si>
    <t xml:space="preserve">Бебенин Г. </t>
  </si>
  <si>
    <t>Сукиасян Тигран</t>
  </si>
  <si>
    <t>Открытая (22.12.1987)/31</t>
  </si>
  <si>
    <t>81,70</t>
  </si>
  <si>
    <t xml:space="preserve">Трофимов А. </t>
  </si>
  <si>
    <t>11</t>
  </si>
  <si>
    <t>Дункель Александр</t>
  </si>
  <si>
    <t xml:space="preserve">RUS/Ижевск </t>
  </si>
  <si>
    <t>12</t>
  </si>
  <si>
    <t>Донников Юрий</t>
  </si>
  <si>
    <t>Открытая (01.12.1983)/36</t>
  </si>
  <si>
    <t xml:space="preserve">RUS/Железнодорожный </t>
  </si>
  <si>
    <t xml:space="preserve">Пустовой Р. </t>
  </si>
  <si>
    <t>13</t>
  </si>
  <si>
    <t>Коннов Николай</t>
  </si>
  <si>
    <t>Открытая (18.06.1980)/39</t>
  </si>
  <si>
    <t>82,50</t>
  </si>
  <si>
    <t xml:space="preserve">Тимохин А. </t>
  </si>
  <si>
    <t>14</t>
  </si>
  <si>
    <t>Самофал Юрий</t>
  </si>
  <si>
    <t>Открытая (05.07.1983)/36</t>
  </si>
  <si>
    <t>15</t>
  </si>
  <si>
    <t>Лихачев Борис</t>
  </si>
  <si>
    <t>Открытая (19.12.1987)/31</t>
  </si>
  <si>
    <t>82,40</t>
  </si>
  <si>
    <t xml:space="preserve">RUS/Сергиев Посад </t>
  </si>
  <si>
    <t>16</t>
  </si>
  <si>
    <t>Крюков Сергей</t>
  </si>
  <si>
    <t>Открытая (30.07.1980)/39</t>
  </si>
  <si>
    <t>76,80</t>
  </si>
  <si>
    <t>Денисов Сергей</t>
  </si>
  <si>
    <t>Открытая (15.09.1991)/28</t>
  </si>
  <si>
    <t>76,00</t>
  </si>
  <si>
    <t xml:space="preserve">RUS/Барнаул </t>
  </si>
  <si>
    <t>Дручинин Артем</t>
  </si>
  <si>
    <t>Открытая (25.12.1990)/28</t>
  </si>
  <si>
    <t>81,00</t>
  </si>
  <si>
    <t>Самохвалов Александр</t>
  </si>
  <si>
    <t>Открытая (09.05.1992)/27</t>
  </si>
  <si>
    <t>82,00</t>
  </si>
  <si>
    <t xml:space="preserve">UKR/Киев </t>
  </si>
  <si>
    <t>Гавриш Владимир</t>
  </si>
  <si>
    <t>Мастера 40-49 (06.01.1972)/47</t>
  </si>
  <si>
    <t xml:space="preserve">KAZ/Алматы </t>
  </si>
  <si>
    <t>Нурпеисов Ерлан</t>
  </si>
  <si>
    <t>Мастера 50-59 (08.07.1963)/56</t>
  </si>
  <si>
    <t xml:space="preserve">Муратханулы Б. </t>
  </si>
  <si>
    <t>ВЕСОВАЯ КАТЕГОРИЯ   90</t>
  </si>
  <si>
    <t>Сторожко Денис</t>
  </si>
  <si>
    <t>Юноши 14-16 (14.12.2002)/16</t>
  </si>
  <si>
    <t>85,50</t>
  </si>
  <si>
    <t xml:space="preserve">RUS/Махачкала </t>
  </si>
  <si>
    <t xml:space="preserve">Салманов О. </t>
  </si>
  <si>
    <t>Принь Денис</t>
  </si>
  <si>
    <t>Юноши 17-19 (09.01.2000)/19</t>
  </si>
  <si>
    <t>86,60</t>
  </si>
  <si>
    <t xml:space="preserve">  RUS/Ноябрьск</t>
  </si>
  <si>
    <t xml:space="preserve">Кобелев В. </t>
  </si>
  <si>
    <t>Смелов Никита</t>
  </si>
  <si>
    <t>Юноши 17-19 (09.08.2002)/17</t>
  </si>
  <si>
    <t>84,60</t>
  </si>
  <si>
    <t xml:space="preserve">RUS/Чагода </t>
  </si>
  <si>
    <t>Зухайриев Богдан</t>
  </si>
  <si>
    <t>Юниоры (16.03.1998)/21</t>
  </si>
  <si>
    <t>87,20</t>
  </si>
  <si>
    <t>Christou Rafail</t>
  </si>
  <si>
    <t>Юниоры (27.12.1996)/22</t>
  </si>
  <si>
    <t xml:space="preserve">CYP/Limassol </t>
  </si>
  <si>
    <t xml:space="preserve">Angelos I. </t>
  </si>
  <si>
    <t>Канаев Никита</t>
  </si>
  <si>
    <t>Юниоры (19.11.1996)/23</t>
  </si>
  <si>
    <t>87,10</t>
  </si>
  <si>
    <t>Владимиров Евгений</t>
  </si>
  <si>
    <t>Открытая (22.08.1964)/55</t>
  </si>
  <si>
    <t>89,50</t>
  </si>
  <si>
    <t xml:space="preserve">RUS/Черноголовка </t>
  </si>
  <si>
    <t>245,0</t>
  </si>
  <si>
    <t>267,5</t>
  </si>
  <si>
    <t xml:space="preserve">Серегин К. </t>
  </si>
  <si>
    <t>Швачко Игорь</t>
  </si>
  <si>
    <t>Открытая (17.08.1993)/26</t>
  </si>
  <si>
    <t>88,80</t>
  </si>
  <si>
    <t xml:space="preserve">BLR/Минск </t>
  </si>
  <si>
    <t>Михайлов Николай</t>
  </si>
  <si>
    <t>Открытая (29.01.1989)/30</t>
  </si>
  <si>
    <t xml:space="preserve">RUS/Звенигород </t>
  </si>
  <si>
    <t>Михайлутин Николай</t>
  </si>
  <si>
    <t>Открытая (08.03.1988)/31</t>
  </si>
  <si>
    <t>86,90</t>
  </si>
  <si>
    <t>270,0</t>
  </si>
  <si>
    <t>Лёвин Александр</t>
  </si>
  <si>
    <t>Открытая (01.03.1989)/30</t>
  </si>
  <si>
    <t>89,80</t>
  </si>
  <si>
    <t xml:space="preserve">RUS/Владимир </t>
  </si>
  <si>
    <t>247,5</t>
  </si>
  <si>
    <t xml:space="preserve">Эрнандес Ортега А. </t>
  </si>
  <si>
    <t>Жиленко Зураб</t>
  </si>
  <si>
    <t>Открытая (02.04.1990)/29</t>
  </si>
  <si>
    <t>88,70</t>
  </si>
  <si>
    <t xml:space="preserve">RUS/Омск </t>
  </si>
  <si>
    <t>Каменский Дмитрий</t>
  </si>
  <si>
    <t>Открытая (10.05.1990)/29</t>
  </si>
  <si>
    <t>87,60</t>
  </si>
  <si>
    <t xml:space="preserve">Тимофеев Д. </t>
  </si>
  <si>
    <t>Мартынюк Артём</t>
  </si>
  <si>
    <t>Открытая (08.09.1985)/34</t>
  </si>
  <si>
    <t>82,90</t>
  </si>
  <si>
    <t>Атаев Имамутдин</t>
  </si>
  <si>
    <t>Открытая (12.10.1988)/31</t>
  </si>
  <si>
    <t>89,10</t>
  </si>
  <si>
    <t xml:space="preserve">Назиров О. </t>
  </si>
  <si>
    <t>Шпаковский Андрей</t>
  </si>
  <si>
    <t>Мастера 40-49 (09.05.1972)/47</t>
  </si>
  <si>
    <t>Мастера 50-59 (22.08.1964)/55</t>
  </si>
  <si>
    <t>Абрамов Максим</t>
  </si>
  <si>
    <t>Мастера 50-59 (07.02.1969)/50</t>
  </si>
  <si>
    <t>Плешков Владимир</t>
  </si>
  <si>
    <t>Мастера 70-79 (29.08.1944)/75</t>
  </si>
  <si>
    <t xml:space="preserve">RUS/Калининград </t>
  </si>
  <si>
    <t>ВЕСОВАЯ КАТЕГОРИЯ   100</t>
  </si>
  <si>
    <t>Хворостюк Иван</t>
  </si>
  <si>
    <t>Юниоры (26.12.1995)/23</t>
  </si>
  <si>
    <t>98,00</t>
  </si>
  <si>
    <t xml:space="preserve">Маракшин К. </t>
  </si>
  <si>
    <t>Омаров Закир</t>
  </si>
  <si>
    <t>Юниоры (31.07.1998)/21</t>
  </si>
  <si>
    <t>99,50</t>
  </si>
  <si>
    <t xml:space="preserve">Омаров А. </t>
  </si>
  <si>
    <t>Сердюк Илья</t>
  </si>
  <si>
    <t>Открытая (20.11.1995)/24</t>
  </si>
  <si>
    <t>99,70</t>
  </si>
  <si>
    <t>237,5</t>
  </si>
  <si>
    <t xml:space="preserve">Зверев Р. </t>
  </si>
  <si>
    <t>Забелин Николай</t>
  </si>
  <si>
    <t>Открытая (23.05.1985)/34</t>
  </si>
  <si>
    <t>98,90</t>
  </si>
  <si>
    <t xml:space="preserve">RUS/Кашин </t>
  </si>
  <si>
    <t>Нестеров Дмитрий</t>
  </si>
  <si>
    <t>Открытая (10.11.1995)/24</t>
  </si>
  <si>
    <t xml:space="preserve">RUS/Улан-Удэ </t>
  </si>
  <si>
    <t xml:space="preserve">Половнев А. </t>
  </si>
  <si>
    <t>Евдокимов Сергей</t>
  </si>
  <si>
    <t>Открытая (05.03.1985)/34</t>
  </si>
  <si>
    <t>98,10</t>
  </si>
  <si>
    <t xml:space="preserve">RUS/Чебоксары </t>
  </si>
  <si>
    <t>Клопов Артем</t>
  </si>
  <si>
    <t>Открытая (11.10.1990)/29</t>
  </si>
  <si>
    <t>99,00</t>
  </si>
  <si>
    <t>Журавлёв Алексей</t>
  </si>
  <si>
    <t>Открытая (16.08.1989)/30</t>
  </si>
  <si>
    <t>97,30</t>
  </si>
  <si>
    <t>Колесников Илья</t>
  </si>
  <si>
    <t>Открытая (23.02.1990)/29</t>
  </si>
  <si>
    <t>96,00</t>
  </si>
  <si>
    <t xml:space="preserve">RUS/Курганинск </t>
  </si>
  <si>
    <t>Андреев Андрей</t>
  </si>
  <si>
    <t>Мастера 40-49 (08.03.1979)/40</t>
  </si>
  <si>
    <t>100,00</t>
  </si>
  <si>
    <t>Федюков Вадим</t>
  </si>
  <si>
    <t>Мастера 40-49 (14.03.1976)/43</t>
  </si>
  <si>
    <t>99,80</t>
  </si>
  <si>
    <t xml:space="preserve">Плаксин А. </t>
  </si>
  <si>
    <t>Джайтабаров Мурат</t>
  </si>
  <si>
    <t>Мастера 50-59 (03.12.1963)/56</t>
  </si>
  <si>
    <t>95,10</t>
  </si>
  <si>
    <t>Джайтабаров М.</t>
  </si>
  <si>
    <t>Селиверстов Александр</t>
  </si>
  <si>
    <t>Мастера 60-69 (21.02.1954)/65</t>
  </si>
  <si>
    <t>97,50</t>
  </si>
  <si>
    <t xml:space="preserve">RUS/Воронеж </t>
  </si>
  <si>
    <t>Джайлаубаев Марат</t>
  </si>
  <si>
    <t>Мастера 60-69 (09.05.1956)/63</t>
  </si>
  <si>
    <t>96,50</t>
  </si>
  <si>
    <t>ВЕСОВАЯ КАТЕГОРИЯ   110</t>
  </si>
  <si>
    <t>O'Leary Alex</t>
  </si>
  <si>
    <t>Юниоры (23.10.1999)/20</t>
  </si>
  <si>
    <t>101,70</t>
  </si>
  <si>
    <t xml:space="preserve">IRL/Dublin </t>
  </si>
  <si>
    <t xml:space="preserve">Steven H. </t>
  </si>
  <si>
    <t>Бондарев Павел</t>
  </si>
  <si>
    <t>Открытая (10.06.1988)/31</t>
  </si>
  <si>
    <t>109,70</t>
  </si>
  <si>
    <t xml:space="preserve">Головинский Д </t>
  </si>
  <si>
    <t>Тумгоев Рустам</t>
  </si>
  <si>
    <t>Открытая (13.12.1989)/29</t>
  </si>
  <si>
    <t>101,50</t>
  </si>
  <si>
    <t xml:space="preserve">RUS/Владикавказ </t>
  </si>
  <si>
    <t>280,0</t>
  </si>
  <si>
    <t xml:space="preserve">Богатырев М. </t>
  </si>
  <si>
    <t>Бабакин Константин</t>
  </si>
  <si>
    <t>Открытая (05.01.1984)/35</t>
  </si>
  <si>
    <t>107,80</t>
  </si>
  <si>
    <t>202,5</t>
  </si>
  <si>
    <t>272,5</t>
  </si>
  <si>
    <t>285,0</t>
  </si>
  <si>
    <t>292,5</t>
  </si>
  <si>
    <t>Прудников Алексей</t>
  </si>
  <si>
    <t>Открытая (24.12.1982)/36</t>
  </si>
  <si>
    <t>107,30</t>
  </si>
  <si>
    <t xml:space="preserve">Соловых В </t>
  </si>
  <si>
    <t>Ефимов Александр</t>
  </si>
  <si>
    <t>Открытая (18.03.1979)/40</t>
  </si>
  <si>
    <t>107,90</t>
  </si>
  <si>
    <t>275,0</t>
  </si>
  <si>
    <t>Павловский Дмитрий</t>
  </si>
  <si>
    <t>Открытая (01.02.1988)/31</t>
  </si>
  <si>
    <t>101,40</t>
  </si>
  <si>
    <t xml:space="preserve">RUS/Воскресенск </t>
  </si>
  <si>
    <t xml:space="preserve">Сенькин В. </t>
  </si>
  <si>
    <t>Климов Роман</t>
  </si>
  <si>
    <t>Открытая (24.12.1981)/37</t>
  </si>
  <si>
    <t>108,40</t>
  </si>
  <si>
    <t xml:space="preserve">Кислов П. </t>
  </si>
  <si>
    <t>Шустов Александр</t>
  </si>
  <si>
    <t>Открытая (07.07.1987)/32</t>
  </si>
  <si>
    <t>108,30</t>
  </si>
  <si>
    <t>Зубаков Глеб</t>
  </si>
  <si>
    <t>Открытая (06.06.1991)/28</t>
  </si>
  <si>
    <t>106,10</t>
  </si>
  <si>
    <t>Самадов Миршод</t>
  </si>
  <si>
    <t>Открытая (31.03.1994)/25</t>
  </si>
  <si>
    <t>100,50</t>
  </si>
  <si>
    <t>Мастера 40-49 (18.03.1979)/40</t>
  </si>
  <si>
    <t>Исрапилов Магомедамин</t>
  </si>
  <si>
    <t>Мастера 40-49 (03.05.1975)/44</t>
  </si>
  <si>
    <t>108,50</t>
  </si>
  <si>
    <t>Мирзабаев Рустам</t>
  </si>
  <si>
    <t>Мастера 50-59 (10.02.1966)/53</t>
  </si>
  <si>
    <t>108,00</t>
  </si>
  <si>
    <t>Саттыбаев Нурлан</t>
  </si>
  <si>
    <t>Мастера 60-69 (01.10.1959)/60</t>
  </si>
  <si>
    <t>102,90</t>
  </si>
  <si>
    <t>ВЕСОВАЯ КАТЕГОРИЯ   125</t>
  </si>
  <si>
    <t>Хуршилов Магомед</t>
  </si>
  <si>
    <t>Открытая (14.02.1980)/39</t>
  </si>
  <si>
    <t>110,30</t>
  </si>
  <si>
    <t xml:space="preserve">RUS/Кизилюрт </t>
  </si>
  <si>
    <t>Турутин Виталий</t>
  </si>
  <si>
    <t>Открытая (22.08.1988)/31</t>
  </si>
  <si>
    <t>122,30</t>
  </si>
  <si>
    <t>Медведев Алексей</t>
  </si>
  <si>
    <t>Открытая (19.05.1987)/32</t>
  </si>
  <si>
    <t>110,40</t>
  </si>
  <si>
    <t>ВЕСОВАЯ КАТЕГОРИЯ   140</t>
  </si>
  <si>
    <t>Прокопенко Евгений</t>
  </si>
  <si>
    <t>Юниоры (24.08.1999)/20</t>
  </si>
  <si>
    <t>128,40</t>
  </si>
  <si>
    <t xml:space="preserve">RUS/Новороссийск </t>
  </si>
  <si>
    <t xml:space="preserve">Беловал Е. </t>
  </si>
  <si>
    <t>Панфилов Григорий</t>
  </si>
  <si>
    <t>Открытая (17.05.1980)/39</t>
  </si>
  <si>
    <t>129,20</t>
  </si>
  <si>
    <t>282,5</t>
  </si>
  <si>
    <t>300,0</t>
  </si>
  <si>
    <t>322,5</t>
  </si>
  <si>
    <t>Попов Евгений</t>
  </si>
  <si>
    <t>Открытая (12.11.1992)/27</t>
  </si>
  <si>
    <t>135,60</t>
  </si>
  <si>
    <t xml:space="preserve">RUS/Астрахань </t>
  </si>
  <si>
    <t>Волгин Ярослав</t>
  </si>
  <si>
    <t>Открытая (06.09.1990)/29</t>
  </si>
  <si>
    <t>136,80</t>
  </si>
  <si>
    <t xml:space="preserve">EST/Tallinn </t>
  </si>
  <si>
    <t xml:space="preserve">Казубский С. </t>
  </si>
  <si>
    <t>Хмелев Вадим</t>
  </si>
  <si>
    <t>Мастера 40-49 (21.07.1975)/44</t>
  </si>
  <si>
    <t>138,80</t>
  </si>
  <si>
    <t>ВЕСОВАЯ КАТЕГОРИЯ   140+</t>
  </si>
  <si>
    <t>Иванов Денис</t>
  </si>
  <si>
    <t>Открытая (01.12.1988)/31</t>
  </si>
  <si>
    <t>146,90</t>
  </si>
  <si>
    <t>290,0</t>
  </si>
  <si>
    <t>307,5</t>
  </si>
  <si>
    <t>312,5</t>
  </si>
  <si>
    <t>Барсков Антон</t>
  </si>
  <si>
    <t>Открытая (17.05.1984)/35</t>
  </si>
  <si>
    <t>161,30</t>
  </si>
  <si>
    <t xml:space="preserve">RUS/Севастополь </t>
  </si>
  <si>
    <t>Холодный В.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</si>
  <si>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</si>
  <si>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</si>
  <si>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</si>
  <si>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</si>
  <si>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</si>
  <si>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>Весовая категория</t>
  </si>
  <si>
    <t xml:space="preserve">Сумма </t>
  </si>
  <si>
    <t xml:space="preserve">Wilks </t>
  </si>
  <si>
    <t>48</t>
  </si>
  <si>
    <t>325,0</t>
  </si>
  <si>
    <t>431,7625</t>
  </si>
  <si>
    <t>56</t>
  </si>
  <si>
    <t>340,0</t>
  </si>
  <si>
    <t>404,6000</t>
  </si>
  <si>
    <t>67.5</t>
  </si>
  <si>
    <t>377,5</t>
  </si>
  <si>
    <t>400,1877</t>
  </si>
  <si>
    <t xml:space="preserve">Мастера </t>
  </si>
  <si>
    <t xml:space="preserve">Мастера 40-49 </t>
  </si>
  <si>
    <t>402,0442</t>
  </si>
  <si>
    <t>60</t>
  </si>
  <si>
    <t>337,5</t>
  </si>
  <si>
    <t>381,5467</t>
  </si>
  <si>
    <t>342,5</t>
  </si>
  <si>
    <t>359,0825</t>
  </si>
  <si>
    <t xml:space="preserve">Мужчины </t>
  </si>
  <si>
    <t xml:space="preserve">Юноши </t>
  </si>
  <si>
    <t xml:space="preserve">Юноши 17-19 </t>
  </si>
  <si>
    <t>90</t>
  </si>
  <si>
    <t>552,5</t>
  </si>
  <si>
    <t>359,9537</t>
  </si>
  <si>
    <t>75</t>
  </si>
  <si>
    <t>490,0</t>
  </si>
  <si>
    <t>355,5440</t>
  </si>
  <si>
    <t>450,0</t>
  </si>
  <si>
    <t>350,7300</t>
  </si>
  <si>
    <t xml:space="preserve">Юниоры </t>
  </si>
  <si>
    <t>Весовая категрия</t>
  </si>
  <si>
    <t>82.5</t>
  </si>
  <si>
    <t>662,5</t>
  </si>
  <si>
    <t>452,6200</t>
  </si>
  <si>
    <t>550,0</t>
  </si>
  <si>
    <t>394,1300</t>
  </si>
  <si>
    <t>577,5</t>
  </si>
  <si>
    <t>392,4112</t>
  </si>
  <si>
    <t>140</t>
  </si>
  <si>
    <t>790,0</t>
  </si>
  <si>
    <t>447,2980</t>
  </si>
  <si>
    <t>140+</t>
  </si>
  <si>
    <t>785,0</t>
  </si>
  <si>
    <t>435,5965</t>
  </si>
  <si>
    <t xml:space="preserve">Мастера 70-79 </t>
  </si>
  <si>
    <t>452,5</t>
  </si>
  <si>
    <t>558,4076</t>
  </si>
  <si>
    <t xml:space="preserve">Мастера 50-59 </t>
  </si>
  <si>
    <t>680,0</t>
  </si>
  <si>
    <t>544,1700</t>
  </si>
  <si>
    <t xml:space="preserve">Мастера 60-69 </t>
  </si>
  <si>
    <t>100</t>
  </si>
  <si>
    <t>542,5</t>
  </si>
  <si>
    <t>511,4663</t>
  </si>
  <si>
    <t>V Чемпионат мира WRPF
WRPF любители Пауэрлифтинг без экипировки
Москва, 4 - 8 декабря 2019 года</t>
  </si>
  <si>
    <t>Фахретдинова Элина</t>
  </si>
  <si>
    <t>Юниорки (06.02.1997)/22</t>
  </si>
  <si>
    <t>51,80</t>
  </si>
  <si>
    <t xml:space="preserve">RUS/Стерлитамак </t>
  </si>
  <si>
    <t xml:space="preserve">Никулин А. </t>
  </si>
  <si>
    <t>Давыдова Алина</t>
  </si>
  <si>
    <t>Открытая (11.08.1990)/29</t>
  </si>
  <si>
    <t>51,00</t>
  </si>
  <si>
    <t xml:space="preserve">RUS/Магадан </t>
  </si>
  <si>
    <t xml:space="preserve">Климов В. </t>
  </si>
  <si>
    <t>Самойлова Светлана</t>
  </si>
  <si>
    <t>Открытая (28.07.1973)/46</t>
  </si>
  <si>
    <t>Кострова О.</t>
  </si>
  <si>
    <t>Бондарчук Елена</t>
  </si>
  <si>
    <t xml:space="preserve">RUS/Санкт-Петербург </t>
  </si>
  <si>
    <t xml:space="preserve">Таранухин Г. </t>
  </si>
  <si>
    <t>Евсеева Наталья</t>
  </si>
  <si>
    <t>Открытая (30.10.1975)/44</t>
  </si>
  <si>
    <t>58,40</t>
  </si>
  <si>
    <t xml:space="preserve">Калита И. </t>
  </si>
  <si>
    <t>Антонова Юлия</t>
  </si>
  <si>
    <t>Открытая (01.02.1980)/39</t>
  </si>
  <si>
    <t>61,10</t>
  </si>
  <si>
    <t xml:space="preserve">RUS/Керчь </t>
  </si>
  <si>
    <t>Анненков Э.</t>
  </si>
  <si>
    <t>Чернышева Екатерина</t>
  </si>
  <si>
    <t>Открытая (10.02.1976)/43</t>
  </si>
  <si>
    <t>61,00</t>
  </si>
  <si>
    <t xml:space="preserve">RUS/Шлиссельбург </t>
  </si>
  <si>
    <t>Милохова Алена</t>
  </si>
  <si>
    <t>Открытая (30.01.1991)/28</t>
  </si>
  <si>
    <t>Громова Наталья</t>
  </si>
  <si>
    <t>Мастера 40-49 (30.05.1971)/48</t>
  </si>
  <si>
    <t>66,70</t>
  </si>
  <si>
    <t xml:space="preserve">Бейкишев Т. </t>
  </si>
  <si>
    <t>Тюгай Наталья</t>
  </si>
  <si>
    <t>Мастера 50-59 (06.07.1967)/52</t>
  </si>
  <si>
    <t xml:space="preserve">Тюгай А. </t>
  </si>
  <si>
    <t>Смелова Жанна</t>
  </si>
  <si>
    <t>Юниорки (09.05.1999)/20</t>
  </si>
  <si>
    <t>70,70</t>
  </si>
  <si>
    <t>Аванесян Александра</t>
  </si>
  <si>
    <t>Открытая (23.05.1995)/24</t>
  </si>
  <si>
    <t>Николаева Виктория</t>
  </si>
  <si>
    <t>Открытая (01.09.1980)/39</t>
  </si>
  <si>
    <t>72,30</t>
  </si>
  <si>
    <t xml:space="preserve">Русакевич К. </t>
  </si>
  <si>
    <t>Сивакова Валерия</t>
  </si>
  <si>
    <t>Открытая (04.11.1988)/31</t>
  </si>
  <si>
    <t xml:space="preserve">Макаров А. </t>
  </si>
  <si>
    <t>Смирнова Дарья</t>
  </si>
  <si>
    <t>Открытая (24.10.1991)/28</t>
  </si>
  <si>
    <t>71,20</t>
  </si>
  <si>
    <t xml:space="preserve">RUS/Ковров </t>
  </si>
  <si>
    <t>Суслов Н.</t>
  </si>
  <si>
    <t>Шутова Юлия</t>
  </si>
  <si>
    <t>Открытая (13.10.1986)/33</t>
  </si>
  <si>
    <t>73,40</t>
  </si>
  <si>
    <t>Семчагова Мария</t>
  </si>
  <si>
    <t>Открытая (30.06.1982)/37</t>
  </si>
  <si>
    <t>87,50</t>
  </si>
  <si>
    <t xml:space="preserve">Васильев Б. </t>
  </si>
  <si>
    <t>Радостев Кирилл</t>
  </si>
  <si>
    <t>Юноши 14-16 (07.06.2004)/15</t>
  </si>
  <si>
    <t>47,70</t>
  </si>
  <si>
    <t xml:space="preserve">Федюков С. </t>
  </si>
  <si>
    <t>Kaymak MertAykut</t>
  </si>
  <si>
    <t>Юниоры (07.04.1998)/21</t>
  </si>
  <si>
    <t>58,80</t>
  </si>
  <si>
    <t xml:space="preserve">TUR/Стамбул </t>
  </si>
  <si>
    <t>Ulufer Ata</t>
  </si>
  <si>
    <t>Юноши 17-19 (14.01.2002)/17</t>
  </si>
  <si>
    <t>66,50</t>
  </si>
  <si>
    <t>Щекотуров Никита</t>
  </si>
  <si>
    <t>Юниоры (09.03.1999)/20</t>
  </si>
  <si>
    <t xml:space="preserve">Лавров И. </t>
  </si>
  <si>
    <t>Muzaffarov Elvin</t>
  </si>
  <si>
    <t>Открытая (15.07.1994)/25</t>
  </si>
  <si>
    <t>67,50</t>
  </si>
  <si>
    <t xml:space="preserve">Агаев Э. </t>
  </si>
  <si>
    <t>Открытая (09.03.1999)/20</t>
  </si>
  <si>
    <t>Малдыбаев Аяжан</t>
  </si>
  <si>
    <t>Мастера 40-49 (28.10.1977)/42</t>
  </si>
  <si>
    <t>67,30</t>
  </si>
  <si>
    <t xml:space="preserve">Джайтабаров М. </t>
  </si>
  <si>
    <t>Akbari Hamidreza</t>
  </si>
  <si>
    <t>Мастера 60-69 (03.04.1956)/63</t>
  </si>
  <si>
    <t>67,00</t>
  </si>
  <si>
    <t xml:space="preserve"> IRN/Tehran </t>
  </si>
  <si>
    <t>Asadzadeh J.</t>
  </si>
  <si>
    <t>Ruzin Ernest</t>
  </si>
  <si>
    <t>Мастера 80+ (20.06.1937)/82</t>
  </si>
  <si>
    <t>61,60</t>
  </si>
  <si>
    <t>ISR/Haifa</t>
  </si>
  <si>
    <t xml:space="preserve">Shnaider A. </t>
  </si>
  <si>
    <t>Agarzayev Amil</t>
  </si>
  <si>
    <t>Юноши 17-19 (13.02.2001)/18</t>
  </si>
  <si>
    <t>AZE/Quba</t>
  </si>
  <si>
    <t>283,0</t>
  </si>
  <si>
    <t xml:space="preserve">Sahdagli F. </t>
  </si>
  <si>
    <t>Slaveykov Dimitar</t>
  </si>
  <si>
    <t>Юниоры (15.11.1998)/21</t>
  </si>
  <si>
    <t>72,60</t>
  </si>
  <si>
    <t xml:space="preserve">BGR/Montana </t>
  </si>
  <si>
    <t>Халилов Ровшан</t>
  </si>
  <si>
    <t>Открытая (06.07.1990)/29</t>
  </si>
  <si>
    <t>173,0</t>
  </si>
  <si>
    <t>287,5</t>
  </si>
  <si>
    <t xml:space="preserve">Мустафаев А. </t>
  </si>
  <si>
    <t>Шишкин Денис</t>
  </si>
  <si>
    <t>Открытая (20.04.1983)/36</t>
  </si>
  <si>
    <t>74,70</t>
  </si>
  <si>
    <t xml:space="preserve"> RUS/Междуреченский</t>
  </si>
  <si>
    <t>295,0</t>
  </si>
  <si>
    <t xml:space="preserve">Щербина С. </t>
  </si>
  <si>
    <t>Сидоркин Дмитрий</t>
  </si>
  <si>
    <t>Открытая (04.02.1993)/26</t>
  </si>
  <si>
    <t xml:space="preserve"> RUS/Мытищи</t>
  </si>
  <si>
    <t xml:space="preserve">Суджан А. </t>
  </si>
  <si>
    <t>Николаев Денис</t>
  </si>
  <si>
    <t>Открытая (15.07.1991)/28</t>
  </si>
  <si>
    <t>72,40</t>
  </si>
  <si>
    <t xml:space="preserve">RUS/Петрозаводск </t>
  </si>
  <si>
    <t xml:space="preserve">Кузнецов И. </t>
  </si>
  <si>
    <t>Давыдов Дмитрий</t>
  </si>
  <si>
    <t>Открытая (20.08.1990)/29</t>
  </si>
  <si>
    <t xml:space="preserve"> RUS/Екатеринбург</t>
  </si>
  <si>
    <t xml:space="preserve">Трубин М. </t>
  </si>
  <si>
    <t>Хоменко Валерий</t>
  </si>
  <si>
    <t>Мастера 60-69 (03.09.1951)/68</t>
  </si>
  <si>
    <t>73,60</t>
  </si>
  <si>
    <t xml:space="preserve">RUS/Находка </t>
  </si>
  <si>
    <t>Баюков Алексей</t>
  </si>
  <si>
    <t>Юноши 14-16 (23.11.2003)/16</t>
  </si>
  <si>
    <t>Шилкин Н.</t>
  </si>
  <si>
    <t>Llopis Juan</t>
  </si>
  <si>
    <t>Юниоры (16.12.1996)/22</t>
  </si>
  <si>
    <t xml:space="preserve">ESP/Barcelona </t>
  </si>
  <si>
    <t>305,0</t>
  </si>
  <si>
    <t>Kosse Ruslan</t>
  </si>
  <si>
    <t>Юниоры (03.03.1997)/22</t>
  </si>
  <si>
    <t xml:space="preserve">ESP/Valencia </t>
  </si>
  <si>
    <t>Ковалевский Георгий</t>
  </si>
  <si>
    <t>Юниоры (28.10.1997)/22</t>
  </si>
  <si>
    <t xml:space="preserve">RUS/Монино </t>
  </si>
  <si>
    <t>Fernandez Lopez</t>
  </si>
  <si>
    <t>Юниоры (01.09.1998)/21</t>
  </si>
  <si>
    <t>Рамазанов Ислам</t>
  </si>
  <si>
    <t>Открытая (01.05.1991)/28</t>
  </si>
  <si>
    <t xml:space="preserve">RUS/Дербент </t>
  </si>
  <si>
    <t>262,5</t>
  </si>
  <si>
    <t>310,0</t>
  </si>
  <si>
    <t xml:space="preserve">Тулпаров Ш. </t>
  </si>
  <si>
    <t>Хусаинов Ринат</t>
  </si>
  <si>
    <t>Открытая (04.07.1983)/36</t>
  </si>
  <si>
    <t xml:space="preserve"> RUS/Красноярск</t>
  </si>
  <si>
    <t xml:space="preserve">Исаков А. </t>
  </si>
  <si>
    <t>Буров Виталий</t>
  </si>
  <si>
    <t>Открытая (22.05.1986)/33</t>
  </si>
  <si>
    <t>80,40</t>
  </si>
  <si>
    <t>Набатчиков Виталий</t>
  </si>
  <si>
    <t>Открытая (07.06.1994)/25</t>
  </si>
  <si>
    <t xml:space="preserve">Нидилько И. </t>
  </si>
  <si>
    <t>Kara Bugrahan</t>
  </si>
  <si>
    <t>Юноши 17-19 (17.05.2000)/19</t>
  </si>
  <si>
    <t>84,00</t>
  </si>
  <si>
    <t>221,0</t>
  </si>
  <si>
    <t>241,0</t>
  </si>
  <si>
    <t>Покрышка Кирилл</t>
  </si>
  <si>
    <t>Юниоры (09.03.1996)/23</t>
  </si>
  <si>
    <t>89,90</t>
  </si>
  <si>
    <t xml:space="preserve">RUS/Мытищи </t>
  </si>
  <si>
    <t>Mykych Stanislav</t>
  </si>
  <si>
    <t>Юниоры (16.04.1997)/22</t>
  </si>
  <si>
    <t>87,70</t>
  </si>
  <si>
    <t xml:space="preserve"> ESP/Barcelona </t>
  </si>
  <si>
    <t>Cot Ballestero</t>
  </si>
  <si>
    <t>Юниоры (08.11.1997)/22</t>
  </si>
  <si>
    <t>88,90</t>
  </si>
  <si>
    <t>Темуркаев Расам</t>
  </si>
  <si>
    <t>Юниоры (28.02.1998)/21</t>
  </si>
  <si>
    <t>83,70</t>
  </si>
  <si>
    <t>Мацуев Магомед</t>
  </si>
  <si>
    <t>Открытая (27.01.1988)/31</t>
  </si>
  <si>
    <t>88,30</t>
  </si>
  <si>
    <t xml:space="preserve"> RUS/Махачкала</t>
  </si>
  <si>
    <t>315,0</t>
  </si>
  <si>
    <t>Мадаминов Алишер</t>
  </si>
  <si>
    <t>Открытая (16.02.1985)/34</t>
  </si>
  <si>
    <t>90,00</t>
  </si>
  <si>
    <t xml:space="preserve">Падалко А. </t>
  </si>
  <si>
    <t>Кобелев Павел</t>
  </si>
  <si>
    <t>Открытая (04.08.1989)/30</t>
  </si>
  <si>
    <t>88,10</t>
  </si>
  <si>
    <t>320,0</t>
  </si>
  <si>
    <t>335,0</t>
  </si>
  <si>
    <t>Ахмадишин Ильдар</t>
  </si>
  <si>
    <t>Открытая (06.03.1992)/27</t>
  </si>
  <si>
    <t xml:space="preserve">RUS/Альметьевск </t>
  </si>
  <si>
    <t>Стебнев А.</t>
  </si>
  <si>
    <t>Сазонов Виталий</t>
  </si>
  <si>
    <t>Открытая (14.08.1988)/31</t>
  </si>
  <si>
    <t xml:space="preserve">RUS/Куровское </t>
  </si>
  <si>
    <t>Павел Шефф</t>
  </si>
  <si>
    <t>Открытая (09.07.1993)/26</t>
  </si>
  <si>
    <t>85,40</t>
  </si>
  <si>
    <t xml:space="preserve">Головинский Д. </t>
  </si>
  <si>
    <t>Derek Abbott</t>
  </si>
  <si>
    <t>Открытая (18.06.1984)/35</t>
  </si>
  <si>
    <t>86,00</t>
  </si>
  <si>
    <t>Mandrijauskas Т.</t>
  </si>
  <si>
    <t>Катаев Ленур</t>
  </si>
  <si>
    <t>Открытая (11.10.1994)/25</t>
  </si>
  <si>
    <t xml:space="preserve">RUS/Симферополь </t>
  </si>
  <si>
    <t>Кашенцев Антон</t>
  </si>
  <si>
    <t>Мастера 40-49 (26.09.1976)/43</t>
  </si>
  <si>
    <t>Goel Anupam</t>
  </si>
  <si>
    <t>Мастера 40-49 (06.12.1974)/45</t>
  </si>
  <si>
    <t xml:space="preserve">IND/Delhi </t>
  </si>
  <si>
    <t>Vishal Kh.</t>
  </si>
  <si>
    <t>Гаджиев Муслим</t>
  </si>
  <si>
    <t>Мастера 40-49 (04.04.1974)/45</t>
  </si>
  <si>
    <t>87,80</t>
  </si>
  <si>
    <t xml:space="preserve">Гусейнов Г. </t>
  </si>
  <si>
    <t>Мисютинский Виталий</t>
  </si>
  <si>
    <t>Мастера 50-59 (02.09.1967)/52</t>
  </si>
  <si>
    <t>88,50</t>
  </si>
  <si>
    <t>Кузоватов Василий</t>
  </si>
  <si>
    <t>Мастера 50-59 (09.03.1963)/56</t>
  </si>
  <si>
    <t xml:space="preserve">RUS/Тула </t>
  </si>
  <si>
    <t xml:space="preserve">Казанцев Н. </t>
  </si>
  <si>
    <t>Янин Тимофей</t>
  </si>
  <si>
    <t>95,80</t>
  </si>
  <si>
    <t>Altinay Efe</t>
  </si>
  <si>
    <t>Юноши 17-19 (16.11.2001)/18</t>
  </si>
  <si>
    <t>91,00</t>
  </si>
  <si>
    <t>Петкун Антон</t>
  </si>
  <si>
    <t>Юниоры (10.12.1997)/21</t>
  </si>
  <si>
    <t>96,10</t>
  </si>
  <si>
    <t xml:space="preserve">RUS/Тверь </t>
  </si>
  <si>
    <t>Cetin Sezgin</t>
  </si>
  <si>
    <t>Юниоры (01.01.1999)/20</t>
  </si>
  <si>
    <t>90,80</t>
  </si>
  <si>
    <t>Vidinligil Tolga</t>
  </si>
  <si>
    <t>Юниоры (23.07.1996)/23</t>
  </si>
  <si>
    <t>97,00</t>
  </si>
  <si>
    <t>Мацько Игорь</t>
  </si>
  <si>
    <t>Открытая (24.05.1993)/26</t>
  </si>
  <si>
    <t xml:space="preserve">RUS/Уренгой </t>
  </si>
  <si>
    <t>355,0</t>
  </si>
  <si>
    <t>360,0</t>
  </si>
  <si>
    <t>Беслекоев Олег</t>
  </si>
  <si>
    <t>Открытая (29.05.1993)/26</t>
  </si>
  <si>
    <t>Салманов Осман</t>
  </si>
  <si>
    <t>Открытая (18.11.1992)/27</t>
  </si>
  <si>
    <t>98,70</t>
  </si>
  <si>
    <t xml:space="preserve">Ильясов Г. </t>
  </si>
  <si>
    <t>Качан Сергей</t>
  </si>
  <si>
    <t>Открытая (21.03.1992)/27</t>
  </si>
  <si>
    <t>330,0</t>
  </si>
  <si>
    <t xml:space="preserve">Фомин Ю. </t>
  </si>
  <si>
    <t>Сатин Артём</t>
  </si>
  <si>
    <t>Открытая (10.03.1990)/29</t>
  </si>
  <si>
    <t xml:space="preserve">RUS/Волгоград </t>
  </si>
  <si>
    <t xml:space="preserve">Амазян Д. </t>
  </si>
  <si>
    <t>Анненков Эдуард</t>
  </si>
  <si>
    <t>Открытая (03.05.1988)/31</t>
  </si>
  <si>
    <t>Сизов Алексей</t>
  </si>
  <si>
    <t>Открытая (11.12.1979)/39</t>
  </si>
  <si>
    <t>96,80</t>
  </si>
  <si>
    <t>Турбар Артем</t>
  </si>
  <si>
    <t>Открытая (04.04.1981)/38</t>
  </si>
  <si>
    <t xml:space="preserve">RUS/Пангоды </t>
  </si>
  <si>
    <t xml:space="preserve">Коновалова Е. </t>
  </si>
  <si>
    <t>Мисюрин Григорий</t>
  </si>
  <si>
    <t>Открытая (07.01.1983)/36</t>
  </si>
  <si>
    <t>96,30</t>
  </si>
  <si>
    <t>Лимонов Александр</t>
  </si>
  <si>
    <t>Открытая (14.12.1994)/24</t>
  </si>
  <si>
    <t xml:space="preserve">Обухов Ф. </t>
  </si>
  <si>
    <t>Камынин Дмитрий</t>
  </si>
  <si>
    <t>Открытая (14.03.1981)/38</t>
  </si>
  <si>
    <t>98,50</t>
  </si>
  <si>
    <t>257,5</t>
  </si>
  <si>
    <t>Незговоров Захар</t>
  </si>
  <si>
    <t>Открытая (19.03.1988)/31</t>
  </si>
  <si>
    <t>95,20</t>
  </si>
  <si>
    <t xml:space="preserve">RUS/Курган </t>
  </si>
  <si>
    <t xml:space="preserve">Мацко И. </t>
  </si>
  <si>
    <t>Чернявский Игорь</t>
  </si>
  <si>
    <t>Открытая (05.08.1984)/35</t>
  </si>
  <si>
    <t xml:space="preserve">Даниелян С. </t>
  </si>
  <si>
    <t>Катков Александр</t>
  </si>
  <si>
    <t>Открытая (11.01.1987)/32</t>
  </si>
  <si>
    <t>93,40</t>
  </si>
  <si>
    <t xml:space="preserve">Суджян А. </t>
  </si>
  <si>
    <t>Karabas Cuma</t>
  </si>
  <si>
    <t>Открытая (20.12.1987)/31</t>
  </si>
  <si>
    <t>95,50</t>
  </si>
  <si>
    <t>Долгушин Егор</t>
  </si>
  <si>
    <t>Открытая (22.03.1996)/23</t>
  </si>
  <si>
    <t>98,20</t>
  </si>
  <si>
    <t>302,5</t>
  </si>
  <si>
    <t>Mouzouras Andreas</t>
  </si>
  <si>
    <t>Мастера 40-49 (30.11.1973)/46</t>
  </si>
  <si>
    <t>97,90</t>
  </si>
  <si>
    <t xml:space="preserve">CYP/Nicosia </t>
  </si>
  <si>
    <t>Поворов Максим</t>
  </si>
  <si>
    <t>Мастера 40-49 (06.08.1978)/41</t>
  </si>
  <si>
    <t>98,40</t>
  </si>
  <si>
    <t>Юхимец Михаил</t>
  </si>
  <si>
    <t>Мастера 40-49 (09.10.1977)/42</t>
  </si>
  <si>
    <t xml:space="preserve">RUS/Дубна </t>
  </si>
  <si>
    <t>Salazar Saul</t>
  </si>
  <si>
    <t>Мастера 50-59 (03.02.1964)/55</t>
  </si>
  <si>
    <t xml:space="preserve">COL/Barranquilla </t>
  </si>
  <si>
    <t>Гусейнов Гусейн</t>
  </si>
  <si>
    <t>Мастера 50-59 (04.01.1966)/53</t>
  </si>
  <si>
    <t>99,90</t>
  </si>
  <si>
    <t>Махров Сергей</t>
  </si>
  <si>
    <t>Мастера 60-69 (17.02.1957)/62</t>
  </si>
  <si>
    <t>94,00</t>
  </si>
  <si>
    <t xml:space="preserve">RUS/Пенза </t>
  </si>
  <si>
    <t>Кузьмин Николай</t>
  </si>
  <si>
    <t>Юниоры (20.02.1996)/23</t>
  </si>
  <si>
    <t>107,40</t>
  </si>
  <si>
    <t xml:space="preserve"> RUS/Новый Уренгой</t>
  </si>
  <si>
    <t>Косьянов Алексей</t>
  </si>
  <si>
    <t>Юниоры (10.02.1998)/21</t>
  </si>
  <si>
    <t xml:space="preserve">RUS/Коломна </t>
  </si>
  <si>
    <t>Фирсов Иван</t>
  </si>
  <si>
    <t>Юниоры (24.12.1996)/22</t>
  </si>
  <si>
    <t xml:space="preserve">RUS/Ангарск </t>
  </si>
  <si>
    <t xml:space="preserve">Зевякин И. </t>
  </si>
  <si>
    <t>Потемкин Максим</t>
  </si>
  <si>
    <t>Открытая (30.08.1993)/26</t>
  </si>
  <si>
    <t>108,10</t>
  </si>
  <si>
    <t>350,0</t>
  </si>
  <si>
    <t>Астахов Денис</t>
  </si>
  <si>
    <t>Открытая (21.05.1984)/35</t>
  </si>
  <si>
    <t>108,70</t>
  </si>
  <si>
    <t>350,5</t>
  </si>
  <si>
    <t xml:space="preserve">Осипов К. </t>
  </si>
  <si>
    <t>Буйко Виктор</t>
  </si>
  <si>
    <t>Открытая (15.06.1984)/35</t>
  </si>
  <si>
    <t>108,60</t>
  </si>
  <si>
    <t xml:space="preserve">KAZ/Караганда </t>
  </si>
  <si>
    <t>Рагимов Гаджи</t>
  </si>
  <si>
    <t>110,00</t>
  </si>
  <si>
    <t>297,5</t>
  </si>
  <si>
    <t xml:space="preserve">Ступников Р. </t>
  </si>
  <si>
    <t>Aghalarov Vusal</t>
  </si>
  <si>
    <t>Открытая (20.10.1991)/28</t>
  </si>
  <si>
    <t>103,90</t>
  </si>
  <si>
    <t xml:space="preserve"> AZE/Gania</t>
  </si>
  <si>
    <t>Ратниекс Эдгар</t>
  </si>
  <si>
    <t>Открытая (13.01.1987)/32</t>
  </si>
  <si>
    <t>109,00</t>
  </si>
  <si>
    <t>LVA/Rezekne</t>
  </si>
  <si>
    <t>Шаров Александр</t>
  </si>
  <si>
    <t>Открытая (03.09.1983)/36</t>
  </si>
  <si>
    <t>109,50</t>
  </si>
  <si>
    <t xml:space="preserve">RUS/Кострома </t>
  </si>
  <si>
    <t>Самсонов Юрий</t>
  </si>
  <si>
    <t>Открытая (24.08.1982)/37</t>
  </si>
  <si>
    <t>109,60</t>
  </si>
  <si>
    <t xml:space="preserve">Кочетков А. </t>
  </si>
  <si>
    <t>Гулиев Сеймур</t>
  </si>
  <si>
    <t>Открытая (23.09.1983)/36</t>
  </si>
  <si>
    <t>Байрамов Ш.</t>
  </si>
  <si>
    <t>Паскал Андрей</t>
  </si>
  <si>
    <t>Открытая (30.10.1990)/29</t>
  </si>
  <si>
    <t>106,40</t>
  </si>
  <si>
    <t xml:space="preserve">RUS/Зеленоградск </t>
  </si>
  <si>
    <t xml:space="preserve">Агафонов В. </t>
  </si>
  <si>
    <t>Карпов Денис</t>
  </si>
  <si>
    <t>Открытая (21.02.1981)/38</t>
  </si>
  <si>
    <t>109,30</t>
  </si>
  <si>
    <t>Гумбатов Айдын</t>
  </si>
  <si>
    <t>Открытая (30.12.1986)/32</t>
  </si>
  <si>
    <t>107,10</t>
  </si>
  <si>
    <t>Тихомиров Михаил</t>
  </si>
  <si>
    <t>Мастера 40-49 (03.03.1974)/45</t>
  </si>
  <si>
    <t>103,40</t>
  </si>
  <si>
    <t>Зайцев Владимир</t>
  </si>
  <si>
    <t>Мастера 70-79 (02.11.1949)/70</t>
  </si>
  <si>
    <t>104,20</t>
  </si>
  <si>
    <t xml:space="preserve">RUS/Самара </t>
  </si>
  <si>
    <t>Пысь Дмитрий</t>
  </si>
  <si>
    <t>Открытая (04.05.1986)/33</t>
  </si>
  <si>
    <t>124,10</t>
  </si>
  <si>
    <t xml:space="preserve">RUS/Геленджик </t>
  </si>
  <si>
    <t>Зайцев Александр</t>
  </si>
  <si>
    <t>Открытая (06.04.1980)/39</t>
  </si>
  <si>
    <t>121,10</t>
  </si>
  <si>
    <t xml:space="preserve">RUS/Изобильный </t>
  </si>
  <si>
    <t>Пичкулян Иван</t>
  </si>
  <si>
    <t>Открытая (12.09.1988)/31</t>
  </si>
  <si>
    <t>120,40</t>
  </si>
  <si>
    <t xml:space="preserve">RUS/Новокузнецк </t>
  </si>
  <si>
    <t>345,0</t>
  </si>
  <si>
    <t>Лученков Сергей</t>
  </si>
  <si>
    <t>Открытая (24.05.1977)/42</t>
  </si>
  <si>
    <t>125,00</t>
  </si>
  <si>
    <t xml:space="preserve">RUS/Балашов </t>
  </si>
  <si>
    <t>Волынчиков Юрий</t>
  </si>
  <si>
    <t>Открытая (06.05.1991)/28</t>
  </si>
  <si>
    <t>121,70</t>
  </si>
  <si>
    <t xml:space="preserve">RUS/Липецк </t>
  </si>
  <si>
    <t xml:space="preserve">Иноземцев С. </t>
  </si>
  <si>
    <t>Пашинин Андрей</t>
  </si>
  <si>
    <t>Открытая (19.10.1992)/27</t>
  </si>
  <si>
    <t>117,90</t>
  </si>
  <si>
    <t xml:space="preserve">Коротков М. </t>
  </si>
  <si>
    <t>Макаренко Алексей</t>
  </si>
  <si>
    <t>Открытая (22.02.1981)/38</t>
  </si>
  <si>
    <t>114,30</t>
  </si>
  <si>
    <t xml:space="preserve">RUS/Подольск </t>
  </si>
  <si>
    <t xml:space="preserve">Крылов В. </t>
  </si>
  <si>
    <t>Aliev Ali</t>
  </si>
  <si>
    <t>Открытая (28.01.1994)/25</t>
  </si>
  <si>
    <t>121,30</t>
  </si>
  <si>
    <t xml:space="preserve">AZE/Гянджа </t>
  </si>
  <si>
    <t xml:space="preserve">Aliev M. </t>
  </si>
  <si>
    <t>Мастера 40-49 (24.05.1977)/42</t>
  </si>
  <si>
    <t>Шарапов Игорь</t>
  </si>
  <si>
    <t>Мастера 40-49 (30.10.1971)/48</t>
  </si>
  <si>
    <t>Сулейманов Фуад</t>
  </si>
  <si>
    <t>Открытая (21.01.1983)/36</t>
  </si>
  <si>
    <t>140,00</t>
  </si>
  <si>
    <t>Акулов Владислав</t>
  </si>
  <si>
    <t>Юноши 14-16 (20.04.2003)/16</t>
  </si>
  <si>
    <t>147,40</t>
  </si>
  <si>
    <t xml:space="preserve">RUS/Павловский Посад </t>
  </si>
  <si>
    <t>Клюка Антон</t>
  </si>
  <si>
    <t>Открытая (30.10.1983)/36</t>
  </si>
  <si>
    <t>160,00</t>
  </si>
  <si>
    <t>365,0</t>
  </si>
  <si>
    <t>Эреджепов Т.</t>
  </si>
  <si>
    <t>Барашев Олег</t>
  </si>
  <si>
    <t>Открытая (31.10.1975)/44</t>
  </si>
  <si>
    <t>140,40</t>
  </si>
  <si>
    <t>Мастера 40-49 (31.10.1975)/44</t>
  </si>
  <si>
    <t>420,0</t>
  </si>
  <si>
    <t>461,7480</t>
  </si>
  <si>
    <t>470,0</t>
  </si>
  <si>
    <t>447,1580</t>
  </si>
  <si>
    <t>370,0</t>
  </si>
  <si>
    <t>417,3970</t>
  </si>
  <si>
    <t>607,0</t>
  </si>
  <si>
    <t>402,3196</t>
  </si>
  <si>
    <t>557,5</t>
  </si>
  <si>
    <t>399,5045</t>
  </si>
  <si>
    <t>390,0</t>
  </si>
  <si>
    <t>304,3560</t>
  </si>
  <si>
    <t>690,0</t>
  </si>
  <si>
    <t>471,4080</t>
  </si>
  <si>
    <t>110</t>
  </si>
  <si>
    <t>760,0</t>
  </si>
  <si>
    <t>450,6800</t>
  </si>
  <si>
    <t>715,0</t>
  </si>
  <si>
    <t>423,2085</t>
  </si>
  <si>
    <t>887,5</t>
  </si>
  <si>
    <t>545,8125</t>
  </si>
  <si>
    <t>125</t>
  </si>
  <si>
    <t>910,0</t>
  </si>
  <si>
    <t>519,3370</t>
  </si>
  <si>
    <t>770,0</t>
  </si>
  <si>
    <t>516,2080</t>
  </si>
  <si>
    <t xml:space="preserve">Мастера 80+ </t>
  </si>
  <si>
    <t>540,4688</t>
  </si>
  <si>
    <t>672,5</t>
  </si>
  <si>
    <t>511,6044</t>
  </si>
  <si>
    <t>V Чемпионат мира WRPF
WRPF любители Пауэрлифтинг классический в бинтах ДК
Москва, 4 - 8 декабря 2019 года</t>
  </si>
  <si>
    <t>Полянская Ксения</t>
  </si>
  <si>
    <t>Открытая (22.11.1988)/31</t>
  </si>
  <si>
    <t>51,50</t>
  </si>
  <si>
    <t>Тарасова Валентина</t>
  </si>
  <si>
    <t>Открытая (07.07.1975)/44</t>
  </si>
  <si>
    <t xml:space="preserve">Сивоконь А. </t>
  </si>
  <si>
    <t>Соколова Анна</t>
  </si>
  <si>
    <t>Открытая (15.03.1984)/35</t>
  </si>
  <si>
    <t>51,30</t>
  </si>
  <si>
    <t>Svjatnaja Svetlana</t>
  </si>
  <si>
    <t>Открытая (11.08.1961)/58</t>
  </si>
  <si>
    <t>49,70</t>
  </si>
  <si>
    <t xml:space="preserve">LVA/Riga </t>
  </si>
  <si>
    <t xml:space="preserve">Lusis A. </t>
  </si>
  <si>
    <t>Мастера 40-49 (07.07.1975)/44</t>
  </si>
  <si>
    <t>Мастера 50-59 (11.08.1961)/58</t>
  </si>
  <si>
    <t>Сорокина Валерия</t>
  </si>
  <si>
    <t>Девушки 17-19 (28.12.2000)/18</t>
  </si>
  <si>
    <t xml:space="preserve">Макеев А. </t>
  </si>
  <si>
    <t>Горшкова Анастасия</t>
  </si>
  <si>
    <t>Открытая (29.01.1988)/31</t>
  </si>
  <si>
    <t xml:space="preserve">RUS/Тамбов </t>
  </si>
  <si>
    <t xml:space="preserve">Красильников А. </t>
  </si>
  <si>
    <t>Кончакова Наталья</t>
  </si>
  <si>
    <t>Открытая (14.08.1977)/42</t>
  </si>
  <si>
    <t xml:space="preserve">RUS/Новосибирск </t>
  </si>
  <si>
    <t xml:space="preserve">Исаков П. </t>
  </si>
  <si>
    <t>Кузьмичева Валерия</t>
  </si>
  <si>
    <t>Девушки 17-19 (21.01.2002)/17</t>
  </si>
  <si>
    <t>57,60</t>
  </si>
  <si>
    <t xml:space="preserve">Пятов Е. </t>
  </si>
  <si>
    <t>Салахова Вера</t>
  </si>
  <si>
    <t>Открытая (24.12.1980)/38</t>
  </si>
  <si>
    <t>57,70</t>
  </si>
  <si>
    <t xml:space="preserve">Маркелов А. </t>
  </si>
  <si>
    <t>Подобряева Наталья</t>
  </si>
  <si>
    <t>Девушки 17-19 (27.12.2001)/17</t>
  </si>
  <si>
    <t>74,00</t>
  </si>
  <si>
    <t>Болдырева Анна</t>
  </si>
  <si>
    <t>Открытая (15.05.1988)/31</t>
  </si>
  <si>
    <t xml:space="preserve">Мисюрин Г. </t>
  </si>
  <si>
    <t>Симонова-Галкина Оксана</t>
  </si>
  <si>
    <t>Мастера 40-49 (13.04.1974)/45</t>
  </si>
  <si>
    <t xml:space="preserve">Cтепанов И. </t>
  </si>
  <si>
    <t>Таскаева Евгения</t>
  </si>
  <si>
    <t>Открытая (08.06.1992)/27</t>
  </si>
  <si>
    <t>83,80</t>
  </si>
  <si>
    <t>Богодист Владислав</t>
  </si>
  <si>
    <t>Юноши 14-16 (20.01.2004)/15</t>
  </si>
  <si>
    <t xml:space="preserve">Куликов Ю. </t>
  </si>
  <si>
    <t>Пахучий Даниил</t>
  </si>
  <si>
    <t>Юноши 17-19 (12.09.2001)/18</t>
  </si>
  <si>
    <t>216,0</t>
  </si>
  <si>
    <t>Konstantinou Christos</t>
  </si>
  <si>
    <t>Открытая (23.07.1993)/26</t>
  </si>
  <si>
    <t>74,20</t>
  </si>
  <si>
    <t>291,0</t>
  </si>
  <si>
    <t>Cojucari Andrei</t>
  </si>
  <si>
    <t>Открытая (14.12.1985)/33</t>
  </si>
  <si>
    <t>MDA/Anenii Noi</t>
  </si>
  <si>
    <t>Медведников Антон</t>
  </si>
  <si>
    <t>Открытая (24.01.1988)/31</t>
  </si>
  <si>
    <t>Васильев Александр</t>
  </si>
  <si>
    <t>Открытая (08.01.1988)/31</t>
  </si>
  <si>
    <t>72,80</t>
  </si>
  <si>
    <t>Эльсайед Махмуд</t>
  </si>
  <si>
    <t>Открытая (28.06.1992)/27</t>
  </si>
  <si>
    <t>EGY/Каир</t>
  </si>
  <si>
    <t>Алтунин Николай</t>
  </si>
  <si>
    <t>Мастера 40-49 (24.07.1977)/42</t>
  </si>
  <si>
    <t xml:space="preserve">RUS/Кинель-Черкассы </t>
  </si>
  <si>
    <t>Рахмонов Убайдулло</t>
  </si>
  <si>
    <t>Юноши 17-19 (12.05.2001)/18</t>
  </si>
  <si>
    <t xml:space="preserve">TJK/Душанбе </t>
  </si>
  <si>
    <t xml:space="preserve">Насриддинов М. </t>
  </si>
  <si>
    <t>Самойленко Дмитрий</t>
  </si>
  <si>
    <t>Открытая (13.11.1994)/25</t>
  </si>
  <si>
    <t>77,70</t>
  </si>
  <si>
    <t xml:space="preserve"> MDA/Томай</t>
  </si>
  <si>
    <t>Xu Jiachen</t>
  </si>
  <si>
    <t>Открытая (26.03.1995)/24</t>
  </si>
  <si>
    <t>79,50</t>
  </si>
  <si>
    <t xml:space="preserve">CHN/Пекин </t>
  </si>
  <si>
    <t>Прокофьев Сергей</t>
  </si>
  <si>
    <t>Открытая (12.11.1972)/47</t>
  </si>
  <si>
    <t xml:space="preserve">RUS/Пермь </t>
  </si>
  <si>
    <t xml:space="preserve">Андрееев Н. </t>
  </si>
  <si>
    <t>Пашков Игорь</t>
  </si>
  <si>
    <t>Открытая (10.06.1986)/33</t>
  </si>
  <si>
    <t xml:space="preserve">RUS/Иваново </t>
  </si>
  <si>
    <t>Новиков Кирилл</t>
  </si>
  <si>
    <t>Открытая (25.06.1987)/32</t>
  </si>
  <si>
    <t>82,30</t>
  </si>
  <si>
    <t>Калинин Валентин</t>
  </si>
  <si>
    <t>Открытая (28.04.1985)/34</t>
  </si>
  <si>
    <t xml:space="preserve">UKR/Луганск </t>
  </si>
  <si>
    <t xml:space="preserve">Кравченко В. </t>
  </si>
  <si>
    <t>Денисов Денис</t>
  </si>
  <si>
    <t>Открытая (27.10.1993)/26</t>
  </si>
  <si>
    <t>78,00</t>
  </si>
  <si>
    <t xml:space="preserve">RUS/Алтайское </t>
  </si>
  <si>
    <t>Никифоров Роман</t>
  </si>
  <si>
    <t>Открытая (27.11.1986)/33</t>
  </si>
  <si>
    <t>80,90</t>
  </si>
  <si>
    <t>Мастера 40-49 (12.11.1972)/47</t>
  </si>
  <si>
    <t xml:space="preserve"> Муратханулы Б.</t>
  </si>
  <si>
    <t>Лебедев Михаил</t>
  </si>
  <si>
    <t>Юниоры (01.02.1996)/23</t>
  </si>
  <si>
    <t>88,20</t>
  </si>
  <si>
    <t>Гоменюк Андрей</t>
  </si>
  <si>
    <t>Юниоры (27.11.1996)/23</t>
  </si>
  <si>
    <t xml:space="preserve">  MDA/Ocnita</t>
  </si>
  <si>
    <t>Коноваленко Андрей</t>
  </si>
  <si>
    <t>Открытая (20.08.1982)/37</t>
  </si>
  <si>
    <t>89,20</t>
  </si>
  <si>
    <t xml:space="preserve">RUS/Дмитров </t>
  </si>
  <si>
    <t>Прокопьев Виктор</t>
  </si>
  <si>
    <t>Открытая (03.03.1995)/24</t>
  </si>
  <si>
    <t>Майоров Дмитрий</t>
  </si>
  <si>
    <t>Открытая (04.09.1992)/27</t>
  </si>
  <si>
    <t>89,00</t>
  </si>
  <si>
    <t xml:space="preserve">RUS/Гусь-Хрустальный </t>
  </si>
  <si>
    <t>Рощупкин Андрей</t>
  </si>
  <si>
    <t>Открытая (17.07.1994)/25</t>
  </si>
  <si>
    <t>Казаков Александр</t>
  </si>
  <si>
    <t>Открытая (06.04.1982)/37</t>
  </si>
  <si>
    <t>89,40</t>
  </si>
  <si>
    <t>RUS/Орел</t>
  </si>
  <si>
    <t>Ягудин Захар</t>
  </si>
  <si>
    <t>Открытая (21.01.1988)/31</t>
  </si>
  <si>
    <t xml:space="preserve">Поздеев К. </t>
  </si>
  <si>
    <t>Скубин Александр</t>
  </si>
  <si>
    <t>Открытая (14.01.1989)/30</t>
  </si>
  <si>
    <t>86,80</t>
  </si>
  <si>
    <t>Потёмкин Андрей</t>
  </si>
  <si>
    <t>Открытая (22.09.1991)/28</t>
  </si>
  <si>
    <t>86,50</t>
  </si>
  <si>
    <t xml:space="preserve">RUS/Краснознаменск </t>
  </si>
  <si>
    <t>Петухов Михаил</t>
  </si>
  <si>
    <t>Мастера 50-59 (28.05.1967)/52</t>
  </si>
  <si>
    <t>Шалабаев Кусман</t>
  </si>
  <si>
    <t>Мастера 50-59 (26.02.1961)/58</t>
  </si>
  <si>
    <t>Куликов Юрий</t>
  </si>
  <si>
    <t>Мастера 60-69 (01.08.1959)/60</t>
  </si>
  <si>
    <t>84,10</t>
  </si>
  <si>
    <t>Абдрахимов Алихан</t>
  </si>
  <si>
    <t>Юноши 14-16 (01.12.2004)/15</t>
  </si>
  <si>
    <t>96,90</t>
  </si>
  <si>
    <t xml:space="preserve">Чайковский Д. </t>
  </si>
  <si>
    <t>Пшонкин Артём</t>
  </si>
  <si>
    <t>Юниоры (26.04.1996)/23</t>
  </si>
  <si>
    <t>95,90</t>
  </si>
  <si>
    <t xml:space="preserve">Мусаев А. </t>
  </si>
  <si>
    <t>Кравцевич Александр</t>
  </si>
  <si>
    <t>Открытая (07.03.1999)/20</t>
  </si>
  <si>
    <t>96,70</t>
  </si>
  <si>
    <t xml:space="preserve">BLR/Гродно </t>
  </si>
  <si>
    <t xml:space="preserve">Кодис А. </t>
  </si>
  <si>
    <t>Одинаев Давлатманд</t>
  </si>
  <si>
    <t>Открытая (08.08.1981)/38</t>
  </si>
  <si>
    <t>Галашев Никита</t>
  </si>
  <si>
    <t>Открытая (16.06.1994)/25</t>
  </si>
  <si>
    <t>Калинин Антон</t>
  </si>
  <si>
    <t>Открытая (05.12.1986)/33</t>
  </si>
  <si>
    <t xml:space="preserve">Кашпар К. </t>
  </si>
  <si>
    <t>Маренков Юрий</t>
  </si>
  <si>
    <t>Мастера 40-49 (18.12.1976)/42</t>
  </si>
  <si>
    <t xml:space="preserve">RUS/Королёв </t>
  </si>
  <si>
    <t xml:space="preserve">Михаил Т. </t>
  </si>
  <si>
    <t>Масленников Дмитрий</t>
  </si>
  <si>
    <t>Юноши 17-19 (29.11.2000)/19</t>
  </si>
  <si>
    <t>104,40</t>
  </si>
  <si>
    <t xml:space="preserve">RUS/Арамиль </t>
  </si>
  <si>
    <t>Гончар Владимир</t>
  </si>
  <si>
    <t>Открытая (28.09.1991)/28</t>
  </si>
  <si>
    <t>Елистратов Владимир</t>
  </si>
  <si>
    <t>Открытая (08.09.1993)/26</t>
  </si>
  <si>
    <t>Сковпень Антон</t>
  </si>
  <si>
    <t>Открытая (08.07.1995)/24</t>
  </si>
  <si>
    <t>103,60</t>
  </si>
  <si>
    <t xml:space="preserve">RUS/Углич </t>
  </si>
  <si>
    <t>Кислицын Иван</t>
  </si>
  <si>
    <t>Юноши 14-16 (10.12.2003)/15</t>
  </si>
  <si>
    <t>123,20</t>
  </si>
  <si>
    <t xml:space="preserve">Савченко А. </t>
  </si>
  <si>
    <t>Пахучий Александр</t>
  </si>
  <si>
    <t>Открытая (24.04.1978)/41</t>
  </si>
  <si>
    <t>117,50</t>
  </si>
  <si>
    <t>Зариньш Жанис</t>
  </si>
  <si>
    <t>Юниоры (15.11.1999)/20</t>
  </si>
  <si>
    <t>137,90</t>
  </si>
  <si>
    <t>Синяков Даниил</t>
  </si>
  <si>
    <t>Открытая (06.09.1994)/25</t>
  </si>
  <si>
    <t>126,40</t>
  </si>
  <si>
    <t>Горбанев Александр</t>
  </si>
  <si>
    <t>Открытая (12.08.1983)/36</t>
  </si>
  <si>
    <t>136,10</t>
  </si>
  <si>
    <t>52</t>
  </si>
  <si>
    <t>392,5</t>
  </si>
  <si>
    <t>492,9800</t>
  </si>
  <si>
    <t>427,0725</t>
  </si>
  <si>
    <t>384,2085</t>
  </si>
  <si>
    <t>712,5</t>
  </si>
  <si>
    <t>511,5037</t>
  </si>
  <si>
    <t>815,0</t>
  </si>
  <si>
    <t>503,0180</t>
  </si>
  <si>
    <t>855,0</t>
  </si>
  <si>
    <t>494,0190</t>
  </si>
  <si>
    <t>V Чемпионат мира WRPF
WRPF любители Пауэрлифтинг классический в бинтах
Москва, 4 - 8 декабря 2019 года</t>
  </si>
  <si>
    <t>Henao Mary</t>
  </si>
  <si>
    <t>Открытая (08.03.1980)/39</t>
  </si>
  <si>
    <t>53,80</t>
  </si>
  <si>
    <t xml:space="preserve">ARG/Santa Rosa </t>
  </si>
  <si>
    <t>Бакланова Анна</t>
  </si>
  <si>
    <t>Открытая (23.07.1984)/35</t>
  </si>
  <si>
    <t>Афанасьева Жанна</t>
  </si>
  <si>
    <t>Мастера 40-49 (08.05.1977)/42</t>
  </si>
  <si>
    <t xml:space="preserve">Шарапов И. </t>
  </si>
  <si>
    <t>O'Sullivan Lina</t>
  </si>
  <si>
    <t>Открытая (12.11.1980)/39</t>
  </si>
  <si>
    <t>59,80</t>
  </si>
  <si>
    <t xml:space="preserve">David Q. </t>
  </si>
  <si>
    <t>Примиская Инга</t>
  </si>
  <si>
    <t>Открытая (22.09.1984)/35</t>
  </si>
  <si>
    <t xml:space="preserve">RUS/Брянск </t>
  </si>
  <si>
    <t xml:space="preserve">Калинин А. </t>
  </si>
  <si>
    <t>Харина Валентина</t>
  </si>
  <si>
    <t>Мастера 40-49 (24.12.1977)/41</t>
  </si>
  <si>
    <t xml:space="preserve">Прокопов М. </t>
  </si>
  <si>
    <t>Порфирьева Наталья</t>
  </si>
  <si>
    <t>Мастера 40-49 (16.04.1974)/45</t>
  </si>
  <si>
    <t xml:space="preserve">RUS/Озёрск </t>
  </si>
  <si>
    <t xml:space="preserve">Пилипишко Н. </t>
  </si>
  <si>
    <t>Печерская Елена</t>
  </si>
  <si>
    <t>Открытая (08.02.1991)/28</t>
  </si>
  <si>
    <t xml:space="preserve">Суслов Н. </t>
  </si>
  <si>
    <t>Gleeson Stephanie</t>
  </si>
  <si>
    <t>Открытая (23.06.1990)/29</t>
  </si>
  <si>
    <t>Vogelsang L.</t>
  </si>
  <si>
    <t>Климась Ольга</t>
  </si>
  <si>
    <t>Открытая (24.09.1975)/44</t>
  </si>
  <si>
    <t>73,70</t>
  </si>
  <si>
    <t>Янина Светлана</t>
  </si>
  <si>
    <t>Мастера 50-59 (28.06.1969)/50</t>
  </si>
  <si>
    <t>Епихина Виктория</t>
  </si>
  <si>
    <t>Открытая (18.04.1991)/28</t>
  </si>
  <si>
    <t>Нестерова Дарья</t>
  </si>
  <si>
    <t>Открытая (01.08.1994)/25</t>
  </si>
  <si>
    <t>Карпухина Александра</t>
  </si>
  <si>
    <t>Открытая (01.06.1995)/24</t>
  </si>
  <si>
    <t>128,0</t>
  </si>
  <si>
    <t xml:space="preserve">Селезнёв А. </t>
  </si>
  <si>
    <t>Огузова Лариса</t>
  </si>
  <si>
    <t>Мастера 40-49 (05.02.1979)/40</t>
  </si>
  <si>
    <t xml:space="preserve">RUS/Ессентуки </t>
  </si>
  <si>
    <t>Нарынбеков Дастан</t>
  </si>
  <si>
    <t>Юноши 14-16 (16.07.2003)/16</t>
  </si>
  <si>
    <t>59,90</t>
  </si>
  <si>
    <t xml:space="preserve">KGZ/Ош </t>
  </si>
  <si>
    <t>166,0</t>
  </si>
  <si>
    <t xml:space="preserve">Назимов Д. </t>
  </si>
  <si>
    <t>Кусман Абдукарим</t>
  </si>
  <si>
    <t>Юноши 14-16 (30.05.2006)/13</t>
  </si>
  <si>
    <t xml:space="preserve">Беркут М. </t>
  </si>
  <si>
    <t>Еловицкий Игорь</t>
  </si>
  <si>
    <t>Мастера 50-59 (29.08.1964)/55</t>
  </si>
  <si>
    <t xml:space="preserve">KAZ/Экибастуз </t>
  </si>
  <si>
    <t>McDonagh Tristan</t>
  </si>
  <si>
    <t>Юниоры (08.03.1997)/22</t>
  </si>
  <si>
    <t>Eamonn H.</t>
  </si>
  <si>
    <t>Абашев Артём</t>
  </si>
  <si>
    <t>Юниоры (22.01.1999)/20</t>
  </si>
  <si>
    <t>Кистанов Дмитрий</t>
  </si>
  <si>
    <t>Открытая (28.06.1993)/26</t>
  </si>
  <si>
    <t xml:space="preserve">Науанов Е. </t>
  </si>
  <si>
    <t>Мехтиев Ромик</t>
  </si>
  <si>
    <t>Открытая (18.11.1986)/33</t>
  </si>
  <si>
    <t xml:space="preserve">RUS/Ростов-на-Дону </t>
  </si>
  <si>
    <t>Карпович Андрейс</t>
  </si>
  <si>
    <t>Открытая (10.11.1982)/37</t>
  </si>
  <si>
    <t xml:space="preserve">RUS/Таганрог </t>
  </si>
  <si>
    <t>Поддубный Даниил</t>
  </si>
  <si>
    <t>Открытая (10.04.1994)/25</t>
  </si>
  <si>
    <t>Иванов Сергей</t>
  </si>
  <si>
    <t>Открытая (13.06.1993)/26</t>
  </si>
  <si>
    <t xml:space="preserve">KAZ/Нур-Султан </t>
  </si>
  <si>
    <t xml:space="preserve">Куприянов А. </t>
  </si>
  <si>
    <t>Сафаров Аслан</t>
  </si>
  <si>
    <t>Открытая (15.12.1991)/27</t>
  </si>
  <si>
    <t>Худавердиев Р.</t>
  </si>
  <si>
    <t>Гуштык Александр</t>
  </si>
  <si>
    <t>Открытая (30.12.1998)/20</t>
  </si>
  <si>
    <t>UKR/Тернополь</t>
  </si>
  <si>
    <t>Драгунов Юрий</t>
  </si>
  <si>
    <t>Мастера 40-49 (05.08.1977)/42</t>
  </si>
  <si>
    <t>73,50</t>
  </si>
  <si>
    <t xml:space="preserve">RUS/Пугачёв </t>
  </si>
  <si>
    <t xml:space="preserve">Михеев В. </t>
  </si>
  <si>
    <t>Лазарев Артём</t>
  </si>
  <si>
    <t>Юниоры (09.12.1997)/21</t>
  </si>
  <si>
    <t>78,70</t>
  </si>
  <si>
    <t xml:space="preserve">RUS/Дзержинский </t>
  </si>
  <si>
    <t>Бортник Артём</t>
  </si>
  <si>
    <t>Открытая (17.07.1995)/24</t>
  </si>
  <si>
    <t xml:space="preserve">Винокуров Д. </t>
  </si>
  <si>
    <t>Греков Максим</t>
  </si>
  <si>
    <t>Открытая (09.09.1985)/34</t>
  </si>
  <si>
    <t>Кагарманов Артем</t>
  </si>
  <si>
    <t>Открытая (28.04.1989)/30</t>
  </si>
  <si>
    <t>Васин Михаил</t>
  </si>
  <si>
    <t>Открытая (16.10.1994)/25</t>
  </si>
  <si>
    <t xml:space="preserve">RUS/Шатура </t>
  </si>
  <si>
    <t xml:space="preserve">Васин М. </t>
  </si>
  <si>
    <t>Павлоцкий Евгений</t>
  </si>
  <si>
    <t>Открытая (14.05.1987)/32</t>
  </si>
  <si>
    <t>Пономаренко Григорий</t>
  </si>
  <si>
    <t>Открытая (18.01.1993)/26</t>
  </si>
  <si>
    <t>Ходько Антон</t>
  </si>
  <si>
    <t>Открытая (13.09.1992)/27</t>
  </si>
  <si>
    <t>81,80</t>
  </si>
  <si>
    <t xml:space="preserve">Сериков Н. </t>
  </si>
  <si>
    <t>Тюгай Александр</t>
  </si>
  <si>
    <t>Мастера 50-59 (11.06.1966)/53</t>
  </si>
  <si>
    <t>Сейтжанов Тайжан</t>
  </si>
  <si>
    <t>Мастера 50-59 (02.04.1967)/52</t>
  </si>
  <si>
    <t xml:space="preserve">Иванов С. </t>
  </si>
  <si>
    <t>Abaeian Alireza</t>
  </si>
  <si>
    <t>Юниоры (06.04.1998)/21</t>
  </si>
  <si>
    <t xml:space="preserve">IRN/Tehran </t>
  </si>
  <si>
    <t>Строченков Юлиан</t>
  </si>
  <si>
    <t>Юниоры (07.10.1999)/20</t>
  </si>
  <si>
    <t xml:space="preserve">RUS/Смоленск </t>
  </si>
  <si>
    <t xml:space="preserve">Соколов А. </t>
  </si>
  <si>
    <t>Аверьянов Владислав</t>
  </si>
  <si>
    <t>Юниоры (25.01.1996)/23</t>
  </si>
  <si>
    <t>88,40</t>
  </si>
  <si>
    <t>Максимов Сергей</t>
  </si>
  <si>
    <t>Открытая (26.07.1989)/30</t>
  </si>
  <si>
    <t>Открытая (06.04.1998)/21</t>
  </si>
  <si>
    <t>Engel Marvin</t>
  </si>
  <si>
    <t>Открытая (14.10.1993)/26</t>
  </si>
  <si>
    <t xml:space="preserve">DEU/Schwabisch Gmund </t>
  </si>
  <si>
    <t>Utz G.</t>
  </si>
  <si>
    <t>Ahmadov Ramil</t>
  </si>
  <si>
    <t>Открытая (06.05.1988)/31</t>
  </si>
  <si>
    <t>317,5</t>
  </si>
  <si>
    <t>Вердиев Х.</t>
  </si>
  <si>
    <t>Леликов Павел</t>
  </si>
  <si>
    <t>Открытая (08.05.1991)/28</t>
  </si>
  <si>
    <t>Бондарев Вячеслав</t>
  </si>
  <si>
    <t>Открытая (27.05.1968)/51</t>
  </si>
  <si>
    <t>277,5</t>
  </si>
  <si>
    <t>Арбатов Григорий</t>
  </si>
  <si>
    <t>Открытая (12.02.1987)/32</t>
  </si>
  <si>
    <t>86,70</t>
  </si>
  <si>
    <t xml:space="preserve"> RUS/Уссурийск</t>
  </si>
  <si>
    <t xml:space="preserve">Пантелеев В. </t>
  </si>
  <si>
    <t>Открытая (07.10.1999)/20</t>
  </si>
  <si>
    <t>Мухин Владислав</t>
  </si>
  <si>
    <t>Открытая (01.03.1983)/36</t>
  </si>
  <si>
    <t>84,20</t>
  </si>
  <si>
    <t xml:space="preserve">RUS/Камышин </t>
  </si>
  <si>
    <t>Козырь Иван</t>
  </si>
  <si>
    <t>Открытая (09.11.1986)/33</t>
  </si>
  <si>
    <t xml:space="preserve">UKR/Днепр </t>
  </si>
  <si>
    <t>Верещагин Николай</t>
  </si>
  <si>
    <t>Открытая (06.12.1987)/32</t>
  </si>
  <si>
    <t xml:space="preserve">Кагарманов А. </t>
  </si>
  <si>
    <t>Tahmasebiboldaji Mehdi</t>
  </si>
  <si>
    <t>Открытая (25.10.1991)/28</t>
  </si>
  <si>
    <t>89,30</t>
  </si>
  <si>
    <t>Джабаров Зияд</t>
  </si>
  <si>
    <t>Мастера 40-49 (09.04.1976)/43</t>
  </si>
  <si>
    <t>Головкин Вадим</t>
  </si>
  <si>
    <t>Мастера 40-49 (05.10.1979)/40</t>
  </si>
  <si>
    <t>87,30</t>
  </si>
  <si>
    <t xml:space="preserve">Головкин В. </t>
  </si>
  <si>
    <t>Мастера 50-59 (27.05.1968)/51</t>
  </si>
  <si>
    <t>Дременков Константин</t>
  </si>
  <si>
    <t>Мастера 50-59 (21.07.1966)/53</t>
  </si>
  <si>
    <t>BLR/Береза</t>
  </si>
  <si>
    <t>Dunne JJ</t>
  </si>
  <si>
    <t>Мастера 50-59 (01.10.1962)/57</t>
  </si>
  <si>
    <t>87,90</t>
  </si>
  <si>
    <t>Федин Анатолий</t>
  </si>
  <si>
    <t>Юноши 17-19 (28.11.2000)/19</t>
  </si>
  <si>
    <t xml:space="preserve">Мекхтиев Р. </t>
  </si>
  <si>
    <t>Павлов Дмитрий</t>
  </si>
  <si>
    <t>Юниоры (11.06.1996)/23</t>
  </si>
  <si>
    <t>97,80</t>
  </si>
  <si>
    <t>Гончаров Денис</t>
  </si>
  <si>
    <t>97,60</t>
  </si>
  <si>
    <t xml:space="preserve">Лепешенков В. </t>
  </si>
  <si>
    <t>Dalal Rajat</t>
  </si>
  <si>
    <t>Юниоры (12.01.1996)/23</t>
  </si>
  <si>
    <t xml:space="preserve">IND/Faridabad </t>
  </si>
  <si>
    <t>Martin T.</t>
  </si>
  <si>
    <t>Dimitrov Ventsislav</t>
  </si>
  <si>
    <t>Открытая (26.01.1994)/25</t>
  </si>
  <si>
    <t>99,60</t>
  </si>
  <si>
    <t>228,0</t>
  </si>
  <si>
    <t>351,0</t>
  </si>
  <si>
    <t>375,0</t>
  </si>
  <si>
    <t>Скобелев Максим</t>
  </si>
  <si>
    <t>Открытая (07.06.1984)/35</t>
  </si>
  <si>
    <t xml:space="preserve">Соловьев Д. </t>
  </si>
  <si>
    <t>Улащик Андрей</t>
  </si>
  <si>
    <t>Открытая (20.07.1983)/36</t>
  </si>
  <si>
    <t>94,80</t>
  </si>
  <si>
    <t>Открытая (11.06.1996)/23</t>
  </si>
  <si>
    <t>Mohammadi-Dinani Mohammadali</t>
  </si>
  <si>
    <t>Открытая (03.06.1984)/35</t>
  </si>
  <si>
    <t>98,30</t>
  </si>
  <si>
    <t>347,5</t>
  </si>
  <si>
    <t>Прманов Илья</t>
  </si>
  <si>
    <t>Открытая (25.01.1989)/30</t>
  </si>
  <si>
    <t>McSpadden Bryan</t>
  </si>
  <si>
    <t>Открытая (18.08.1994)/25</t>
  </si>
  <si>
    <t>Chang L.</t>
  </si>
  <si>
    <t>Зиёдуллаев Улугбек</t>
  </si>
  <si>
    <t>Открытая (02.09.1994)/25</t>
  </si>
  <si>
    <t>UZB/Термез</t>
  </si>
  <si>
    <t xml:space="preserve">Туманов А. </t>
  </si>
  <si>
    <t>Тимофеев Станислав</t>
  </si>
  <si>
    <t>Открытая (15.08.1980)/39</t>
  </si>
  <si>
    <t>97,20</t>
  </si>
  <si>
    <t>Федосеев Николай</t>
  </si>
  <si>
    <t>Открытая (23.02.1991)/28</t>
  </si>
  <si>
    <t>95,40</t>
  </si>
  <si>
    <t>Кондратьев Вадим</t>
  </si>
  <si>
    <t>Открытая (16.09.1993)/26</t>
  </si>
  <si>
    <t>LVA/Riga</t>
  </si>
  <si>
    <t>Трофимов Алексей</t>
  </si>
  <si>
    <t>Открытая (12.01.1996)/23</t>
  </si>
  <si>
    <t>Martin Т.</t>
  </si>
  <si>
    <t>Нигматуллин Ринат</t>
  </si>
  <si>
    <t>Открытая (05.02.1980)/39</t>
  </si>
  <si>
    <t xml:space="preserve">RUS/Челябинск </t>
  </si>
  <si>
    <t xml:space="preserve">Град. В. </t>
  </si>
  <si>
    <t>Ершов Илья</t>
  </si>
  <si>
    <t>Открытая (20.10.1988)/31</t>
  </si>
  <si>
    <t xml:space="preserve">Панферова М. </t>
  </si>
  <si>
    <t>Ионичев Артур</t>
  </si>
  <si>
    <t>Открытая (03.12.1982)/37</t>
  </si>
  <si>
    <t>17</t>
  </si>
  <si>
    <t>Голубев Дмитрий</t>
  </si>
  <si>
    <t>Открытая (27.02.1992)/27</t>
  </si>
  <si>
    <t>18</t>
  </si>
  <si>
    <t>Гайер Александр</t>
  </si>
  <si>
    <t>Открытая (14.12.1984)/34</t>
  </si>
  <si>
    <t>94,70</t>
  </si>
  <si>
    <t xml:space="preserve">RUS/Сургут </t>
  </si>
  <si>
    <t>19</t>
  </si>
  <si>
    <t>Проскуряков Алексей</t>
  </si>
  <si>
    <t>Открытая (19.06.1984)/35</t>
  </si>
  <si>
    <t>94,50</t>
  </si>
  <si>
    <t>Baatar Badarch</t>
  </si>
  <si>
    <t>Открытая (14.03.1986)/33</t>
  </si>
  <si>
    <t xml:space="preserve">MNG/Улан-Батор </t>
  </si>
  <si>
    <t>Verdiyev Hafiz</t>
  </si>
  <si>
    <t>Открытая (04.03.1990)/29</t>
  </si>
  <si>
    <t>98,80</t>
  </si>
  <si>
    <t>AZE/Ganja</t>
  </si>
  <si>
    <t>Aghayev R.</t>
  </si>
  <si>
    <t>Антипин Андрей</t>
  </si>
  <si>
    <t>Открытая (20.12.1990)/28</t>
  </si>
  <si>
    <t>99,20</t>
  </si>
  <si>
    <t>Чакин Сергей</t>
  </si>
  <si>
    <t>Мастера 40-49 (24.03.1974)/45</t>
  </si>
  <si>
    <t>99,30</t>
  </si>
  <si>
    <t>Иванов Андрей</t>
  </si>
  <si>
    <t>Мастера 40-49 (14.01.1971)/48</t>
  </si>
  <si>
    <t>91,50</t>
  </si>
  <si>
    <t>Мустапаев Хасан</t>
  </si>
  <si>
    <t>Мастера 40-49 (01.01.1978)/41</t>
  </si>
  <si>
    <t xml:space="preserve">RUS/Грозный </t>
  </si>
  <si>
    <t>Мусаев А.</t>
  </si>
  <si>
    <t>Радаев Владимир</t>
  </si>
  <si>
    <t>Мастера 60-69 (11.08.1954)/65</t>
  </si>
  <si>
    <t>Новиков Иван</t>
  </si>
  <si>
    <t>Юниоры (23.05.1996)/23</t>
  </si>
  <si>
    <t>106,00</t>
  </si>
  <si>
    <t xml:space="preserve">Насонов Д. </t>
  </si>
  <si>
    <t>Ахлестин Сергей</t>
  </si>
  <si>
    <t>Открытая (15.09.1989)/30</t>
  </si>
  <si>
    <t>106,30</t>
  </si>
  <si>
    <t xml:space="preserve">Андреев В. </t>
  </si>
  <si>
    <t>Седых Александр</t>
  </si>
  <si>
    <t>Открытая (24.05.1990)/29</t>
  </si>
  <si>
    <t>109,20</t>
  </si>
  <si>
    <t>Кузнецов Валерий</t>
  </si>
  <si>
    <t>Открытая (21.08.1983)/36</t>
  </si>
  <si>
    <t>107,20</t>
  </si>
  <si>
    <t xml:space="preserve">RUS/Новый Уренгой </t>
  </si>
  <si>
    <t>Smith Steffen</t>
  </si>
  <si>
    <t>Открытая (13.06.1984)/35</t>
  </si>
  <si>
    <t>104,80</t>
  </si>
  <si>
    <t xml:space="preserve">USA/New York </t>
  </si>
  <si>
    <t>Кампов Валерий</t>
  </si>
  <si>
    <t>Открытая (02.10.1992)/27</t>
  </si>
  <si>
    <t xml:space="preserve">KAZ/Костанай </t>
  </si>
  <si>
    <t>Ерёмин Роман</t>
  </si>
  <si>
    <t>Открытая (25.04.1994)/25</t>
  </si>
  <si>
    <t>104,30</t>
  </si>
  <si>
    <t xml:space="preserve">RUS/Курск </t>
  </si>
  <si>
    <t>Кравченко Е.</t>
  </si>
  <si>
    <t>Кочнев Григорий</t>
  </si>
  <si>
    <t>Открытая (24.04.1988)/31</t>
  </si>
  <si>
    <t>108,90</t>
  </si>
  <si>
    <t>Потеев Владимир</t>
  </si>
  <si>
    <t>Открытая (13.10.1994)/25</t>
  </si>
  <si>
    <t>102,10</t>
  </si>
  <si>
    <t xml:space="preserve">RUS/Краснодар </t>
  </si>
  <si>
    <t>Вахтин Аким</t>
  </si>
  <si>
    <t>Открытая (06.10.1983)/36</t>
  </si>
  <si>
    <t>105,00</t>
  </si>
  <si>
    <t xml:space="preserve">RUS/Шахты </t>
  </si>
  <si>
    <t>Chen Li</t>
  </si>
  <si>
    <t>Открытая (28.02.1981)/38</t>
  </si>
  <si>
    <t>105,80</t>
  </si>
  <si>
    <t>Полещук Иван</t>
  </si>
  <si>
    <t>Открытая (27.04.1984)/35</t>
  </si>
  <si>
    <t>106,60</t>
  </si>
  <si>
    <t xml:space="preserve">RUS/Россошь </t>
  </si>
  <si>
    <t>Шевченко Андрей</t>
  </si>
  <si>
    <t>Открытая (17.10.1986)/33</t>
  </si>
  <si>
    <t xml:space="preserve">BLR/Орша </t>
  </si>
  <si>
    <t>Апальков Андрей</t>
  </si>
  <si>
    <t>Мастера 40-49 (21.06.1979)/40</t>
  </si>
  <si>
    <t>Дьячков Антон</t>
  </si>
  <si>
    <t>Мастера 40-49 (21.12.1977)/41</t>
  </si>
  <si>
    <t xml:space="preserve">RUS/Одинцово </t>
  </si>
  <si>
    <t>Sredojevic Keld</t>
  </si>
  <si>
    <t>Юноши 17-19 (15.07.2000)/19</t>
  </si>
  <si>
    <t xml:space="preserve">JJ Dunne </t>
  </si>
  <si>
    <t>Erdogan Emre</t>
  </si>
  <si>
    <t>Юноши 17-19 (11.08.2000)/19</t>
  </si>
  <si>
    <t>110,80</t>
  </si>
  <si>
    <t>Пахтусов Семен</t>
  </si>
  <si>
    <t>Юниоры (31.05.1996)/23</t>
  </si>
  <si>
    <t>Huseynov Razim</t>
  </si>
  <si>
    <t>Открытая (28.12.1975)/43</t>
  </si>
  <si>
    <t>124,70</t>
  </si>
  <si>
    <t>380,0</t>
  </si>
  <si>
    <t xml:space="preserve">Azer M. </t>
  </si>
  <si>
    <t>Пятов Евгений</t>
  </si>
  <si>
    <t>Открытая (18.02.1990)/29</t>
  </si>
  <si>
    <t>116,90</t>
  </si>
  <si>
    <t>Larch Stefan</t>
  </si>
  <si>
    <t>Открытая (06.04.1993)/26</t>
  </si>
  <si>
    <t>119,10</t>
  </si>
  <si>
    <t xml:space="preserve">AUT/Kramsach </t>
  </si>
  <si>
    <t xml:space="preserve">Christoph R. </t>
  </si>
  <si>
    <t>Омаров Анар</t>
  </si>
  <si>
    <t>Открытая (22.06.1985)/34</t>
  </si>
  <si>
    <t>124,40</t>
  </si>
  <si>
    <t xml:space="preserve">RUS/Обнинск </t>
  </si>
  <si>
    <t xml:space="preserve">Рыбалкин Д. </t>
  </si>
  <si>
    <t>Вербицкий Дмитрий</t>
  </si>
  <si>
    <t>Открытая (26.03.1986)/33</t>
  </si>
  <si>
    <t>116,80</t>
  </si>
  <si>
    <t xml:space="preserve">RUS/Саяногорск </t>
  </si>
  <si>
    <t>332,5</t>
  </si>
  <si>
    <t>Donatas Dauciunas</t>
  </si>
  <si>
    <t>Открытая (09.10.1993)/26</t>
  </si>
  <si>
    <t>120,70</t>
  </si>
  <si>
    <t xml:space="preserve">LTU/Kaunas </t>
  </si>
  <si>
    <t>Римиханов Иляр</t>
  </si>
  <si>
    <t>Открытая (12.06.1988)/31</t>
  </si>
  <si>
    <t>121,60</t>
  </si>
  <si>
    <t xml:space="preserve">UKR/Донецк </t>
  </si>
  <si>
    <t xml:space="preserve">Шалоха А. </t>
  </si>
  <si>
    <t>Кучма Алексей</t>
  </si>
  <si>
    <t>Открытая (04.01.1979)/40</t>
  </si>
  <si>
    <t>122,90</t>
  </si>
  <si>
    <t xml:space="preserve"> RUS/Кинель-Черкассы</t>
  </si>
  <si>
    <t>Audrius Tuckus</t>
  </si>
  <si>
    <t>Открытая (08.05.1986)/33</t>
  </si>
  <si>
    <t>Клычёв Александр</t>
  </si>
  <si>
    <t>Открытая (25.06.1986)/33</t>
  </si>
  <si>
    <t>122,40</t>
  </si>
  <si>
    <t>Фурцев Данила</t>
  </si>
  <si>
    <t>Открытая (21.07.1995)/24</t>
  </si>
  <si>
    <t>122,20</t>
  </si>
  <si>
    <t xml:space="preserve">RUS/Мурманск </t>
  </si>
  <si>
    <t>Курков Валерий</t>
  </si>
  <si>
    <t>Открытая (07.07.1992)/27</t>
  </si>
  <si>
    <t>123,80</t>
  </si>
  <si>
    <t xml:space="preserve">Милин И., Нидилько И. </t>
  </si>
  <si>
    <t>Kranats Elviss</t>
  </si>
  <si>
    <t>Открытая (21.09.1994)/25</t>
  </si>
  <si>
    <t>112,30</t>
  </si>
  <si>
    <t xml:space="preserve">LVA/Salaspils </t>
  </si>
  <si>
    <t xml:space="preserve">Ivars C. </t>
  </si>
  <si>
    <t>Омаров Руслан</t>
  </si>
  <si>
    <t>Открытая (07.07.1983)/36</t>
  </si>
  <si>
    <t>120,10</t>
  </si>
  <si>
    <t xml:space="preserve">RUS/Кизляр </t>
  </si>
  <si>
    <t xml:space="preserve">Клюшев А. </t>
  </si>
  <si>
    <t>Грикин Илья</t>
  </si>
  <si>
    <t>Открытая (08.04.1992)/27</t>
  </si>
  <si>
    <t>Мастера 40-49 (28.12.1975)/43</t>
  </si>
  <si>
    <t xml:space="preserve"> AZE/Баку </t>
  </si>
  <si>
    <t>Мастера 40-49 (04.01.1979)/40</t>
  </si>
  <si>
    <t xml:space="preserve">  RUS/Кинель-Черкассы</t>
  </si>
  <si>
    <t>Исабеков Руслан</t>
  </si>
  <si>
    <t>Мастера 40-49 (15.11.1978)/41</t>
  </si>
  <si>
    <t>114,40</t>
  </si>
  <si>
    <t>Erfani Hassan</t>
  </si>
  <si>
    <t>Мастера 60-69 (21.04.1958)/61</t>
  </si>
  <si>
    <t>Друкер Владимир</t>
  </si>
  <si>
    <t>Мастера 60-69 (23.04.1950)/69</t>
  </si>
  <si>
    <t>122,10</t>
  </si>
  <si>
    <t>Бариев Рашид</t>
  </si>
  <si>
    <t>Мастера 60-69 (28.01.1959)/60</t>
  </si>
  <si>
    <t>112,50</t>
  </si>
  <si>
    <t>Mellor Nicholas</t>
  </si>
  <si>
    <t>Юниоры (28.12.1995)/23</t>
  </si>
  <si>
    <t xml:space="preserve">GBR/Bristol </t>
  </si>
  <si>
    <t>Opalic Nihad</t>
  </si>
  <si>
    <t>Открытая (30.09.1985)/34</t>
  </si>
  <si>
    <t xml:space="preserve">AUT/Vienna </t>
  </si>
  <si>
    <t>Трдатьян Левон</t>
  </si>
  <si>
    <t>Открытая (28.11.1980)/39</t>
  </si>
  <si>
    <t>125,80</t>
  </si>
  <si>
    <t>Zhu Rongyao</t>
  </si>
  <si>
    <t>Открытая (07.01.1995)/24</t>
  </si>
  <si>
    <t>132,00</t>
  </si>
  <si>
    <t>Motejaded Mohammadhesam</t>
  </si>
  <si>
    <t>Открытая (19.12.1992)/26</t>
  </si>
  <si>
    <t>135,30</t>
  </si>
  <si>
    <t>Halimimamghani Bahman</t>
  </si>
  <si>
    <t>132,50</t>
  </si>
  <si>
    <t>Treskavica Milan</t>
  </si>
  <si>
    <t>Открытая (20.04.1992)/27</t>
  </si>
  <si>
    <t>155,30</t>
  </si>
  <si>
    <t xml:space="preserve">HRV/Zagreb </t>
  </si>
  <si>
    <t xml:space="preserve">Korotkov M. </t>
  </si>
  <si>
    <t>Zare Mohammadjavad</t>
  </si>
  <si>
    <t>Открытая (30.07.1991)/28</t>
  </si>
  <si>
    <t>197,30</t>
  </si>
  <si>
    <t>Bayandorj Ganbold</t>
  </si>
  <si>
    <t>Мастера 40-49 (02.07.1974)/45</t>
  </si>
  <si>
    <t>148,00</t>
  </si>
  <si>
    <t>Lina O'Sullivan</t>
  </si>
  <si>
    <t>505,8045</t>
  </si>
  <si>
    <t>410,0</t>
  </si>
  <si>
    <t>497,7810</t>
  </si>
  <si>
    <t>532,5</t>
  </si>
  <si>
    <t>483,2970</t>
  </si>
  <si>
    <t>820,0</t>
  </si>
  <si>
    <t>527,0960</t>
  </si>
  <si>
    <t>817,5</t>
  </si>
  <si>
    <t>502,1085</t>
  </si>
  <si>
    <t>840,0</t>
  </si>
  <si>
    <t>481,9080</t>
  </si>
  <si>
    <t>952,5</t>
  </si>
  <si>
    <t>566,7375</t>
  </si>
  <si>
    <t>929,0</t>
  </si>
  <si>
    <t>566,3184</t>
  </si>
  <si>
    <t>960,0</t>
  </si>
  <si>
    <t>547,2960</t>
  </si>
  <si>
    <t>562,6203</t>
  </si>
  <si>
    <t>702,5</t>
  </si>
  <si>
    <t>546,0589</t>
  </si>
  <si>
    <t>722,5</t>
  </si>
  <si>
    <t>542,1085</t>
  </si>
  <si>
    <t>V Чемпионат мира WRPF
WEPF любители Пауэрлифтинг в однослойной экипировке ДК
Москва, 4 - 8 декабря 2019 года</t>
  </si>
  <si>
    <t>Лисицкий Илья</t>
  </si>
  <si>
    <t>Открытая (19.08.1993)/26</t>
  </si>
  <si>
    <t>V Чемпионат мира WRPF
WEPF любители Пауэрлифтинг в однослойной экипировке
Москва, 4 - 8 декабря 2019 года</t>
  </si>
  <si>
    <t>Головкин Виктор</t>
  </si>
  <si>
    <t>Мастера 60-69 (25.12.1949)/69</t>
  </si>
  <si>
    <t>Андреев Валентин</t>
  </si>
  <si>
    <t>Мастера 70-79 (06.05.1948)/71</t>
  </si>
  <si>
    <t>89,60</t>
  </si>
  <si>
    <t xml:space="preserve">Ракчеев О. </t>
  </si>
  <si>
    <t>Ахтырский Владимир</t>
  </si>
  <si>
    <t>Открытая (06.01.1993)/26</t>
  </si>
  <si>
    <t xml:space="preserve">Бакунц Г. </t>
  </si>
  <si>
    <t>Мураткин Александр</t>
  </si>
  <si>
    <t>Открытая (29.08.1985)/34</t>
  </si>
  <si>
    <t>107,70</t>
  </si>
  <si>
    <t xml:space="preserve">RUS/Казань </t>
  </si>
  <si>
    <t>357,5</t>
  </si>
  <si>
    <t xml:space="preserve">Бариев Д. </t>
  </si>
  <si>
    <t>Patel Maherzad</t>
  </si>
  <si>
    <t>Открытая (18.08.1993)/26</t>
  </si>
  <si>
    <t>100,40</t>
  </si>
  <si>
    <t xml:space="preserve">IND/Mumbai </t>
  </si>
  <si>
    <t xml:space="preserve">Bhesania Ya. </t>
  </si>
  <si>
    <t>V Чемпионат мира WRPF
WEPF любители Пауэрлифтинг в многослойной экипировке ДК
Москва, 4 - 8 декабря 2019 года</t>
  </si>
  <si>
    <t>Мирмирани Виже</t>
  </si>
  <si>
    <t>Мастера 50-59 (14.04.1965)/54</t>
  </si>
  <si>
    <t>59,70</t>
  </si>
  <si>
    <t xml:space="preserve">Кровиков А. </t>
  </si>
  <si>
    <t>Косарев-Володько Александр</t>
  </si>
  <si>
    <t>Мастера 40-49 (06.03.1974)/45</t>
  </si>
  <si>
    <t>V Чемпионат мира WRPF
WEPF любители Пауэрлифтинг в многослойной экипировке
Москва, 4 - 8 декабря 2019 года</t>
  </si>
  <si>
    <t>Asgarov Parvin</t>
  </si>
  <si>
    <t>Открытая (30.03.1990)/29</t>
  </si>
  <si>
    <t>87,40</t>
  </si>
  <si>
    <t xml:space="preserve">Natiq A. </t>
  </si>
  <si>
    <t>Григорьев Александр</t>
  </si>
  <si>
    <t>Юниоры (08.08.1996)/23</t>
  </si>
  <si>
    <t xml:space="preserve">RUS/Уфа </t>
  </si>
  <si>
    <t>Луговой А.</t>
  </si>
  <si>
    <t>V Чемпионат мира WRPF
WRPF любители Силовое двоеборье без экипировки ДК
Москва, 4 - 8 декабря 2019 года</t>
  </si>
  <si>
    <t>Андрианова Ольга</t>
  </si>
  <si>
    <t>Открытая (02.02.1986)/33</t>
  </si>
  <si>
    <t xml:space="preserve">Леоненко В. </t>
  </si>
  <si>
    <t>Добрякова Светлана</t>
  </si>
  <si>
    <t>Мастера 40-49 (22.09.1975)/44</t>
  </si>
  <si>
    <t>LVA/Рига</t>
  </si>
  <si>
    <t>Турковская Ольга</t>
  </si>
  <si>
    <t>Мастера 50-59 (05.06.1967)/52</t>
  </si>
  <si>
    <t xml:space="preserve"> RUS/Реутово </t>
  </si>
  <si>
    <t xml:space="preserve">Лазариди Г. </t>
  </si>
  <si>
    <t>Шишкин Вадим</t>
  </si>
  <si>
    <t>Юноши 17-19 (08.12.2000)/18</t>
  </si>
  <si>
    <t>163,0</t>
  </si>
  <si>
    <t xml:space="preserve">Жаденов В. </t>
  </si>
  <si>
    <t>Сягло Вениамин</t>
  </si>
  <si>
    <t>Юноши 14-16 (16.02.2003)/16</t>
  </si>
  <si>
    <t xml:space="preserve">BLR/Лида </t>
  </si>
  <si>
    <t xml:space="preserve">Страхалис С. </t>
  </si>
  <si>
    <t xml:space="preserve">  RUS/Ростов-на-Дону</t>
  </si>
  <si>
    <t>Якимчук Николай</t>
  </si>
  <si>
    <t>Юниоры (09.02.1999)/20</t>
  </si>
  <si>
    <t>72,90</t>
  </si>
  <si>
    <t xml:space="preserve">RUS/Раменское </t>
  </si>
  <si>
    <t xml:space="preserve">Грошев А. </t>
  </si>
  <si>
    <t xml:space="preserve"> EGY/Каир</t>
  </si>
  <si>
    <t>Лордкипанидзе Саид</t>
  </si>
  <si>
    <t>Открытая (28.03.1995)/24</t>
  </si>
  <si>
    <t xml:space="preserve">  RUS/Сухум </t>
  </si>
  <si>
    <t xml:space="preserve">Черкезия А. </t>
  </si>
  <si>
    <t>Румянцев Антон</t>
  </si>
  <si>
    <t>Открытая (25.02.1997)/22</t>
  </si>
  <si>
    <t xml:space="preserve">   RUS/Голицыно</t>
  </si>
  <si>
    <t>Гладков Анатолий</t>
  </si>
  <si>
    <t>Открытая (12.09.1981)/38</t>
  </si>
  <si>
    <t xml:space="preserve">RUS/Якутск </t>
  </si>
  <si>
    <t>Черный Виталий</t>
  </si>
  <si>
    <t>Открытая (29.11.1993)/26</t>
  </si>
  <si>
    <t>Lusis Andris</t>
  </si>
  <si>
    <t>Мухамедзянов Рустам</t>
  </si>
  <si>
    <t>Открытая (17.02.1994)/25</t>
  </si>
  <si>
    <t>77,90</t>
  </si>
  <si>
    <t>Парфенов Никита</t>
  </si>
  <si>
    <t>Kasabjans Karens</t>
  </si>
  <si>
    <t>Мастера 50-59 (18.06.1967)/52</t>
  </si>
  <si>
    <t>79,60</t>
  </si>
  <si>
    <t>Сахаров Даниил</t>
  </si>
  <si>
    <t>Юноши 17-19 (22.02.2001)/18</t>
  </si>
  <si>
    <t>RUS/Щелково</t>
  </si>
  <si>
    <t>Танаев М.</t>
  </si>
  <si>
    <t xml:space="preserve"> MDA/Ocnita</t>
  </si>
  <si>
    <t>Хаутиев Башир</t>
  </si>
  <si>
    <t>Юниоры (19.08.1999)/20</t>
  </si>
  <si>
    <t>Василенко Иван</t>
  </si>
  <si>
    <t>Открытая (20.06.1985)/34</t>
  </si>
  <si>
    <t xml:space="preserve">RUS/Ухта </t>
  </si>
  <si>
    <t>Рожков Михаил</t>
  </si>
  <si>
    <t>Открытая (08.10.1989)/30</t>
  </si>
  <si>
    <t xml:space="preserve"> UKR/Горловка</t>
  </si>
  <si>
    <t>Мартынов Яков</t>
  </si>
  <si>
    <t>Открытая (29.05.1992)/27</t>
  </si>
  <si>
    <t xml:space="preserve">Опиченок Е. </t>
  </si>
  <si>
    <t>Mantymaki Mikko</t>
  </si>
  <si>
    <t>Открытая (29.09.1971)/48</t>
  </si>
  <si>
    <t xml:space="preserve">FIN/Tampere </t>
  </si>
  <si>
    <t>Казарян Крист</t>
  </si>
  <si>
    <t>Открытая (30.08.1992)/27</t>
  </si>
  <si>
    <t>Таюрский Александр</t>
  </si>
  <si>
    <t>Мастера 40-49 (03.09.1979)/40</t>
  </si>
  <si>
    <t xml:space="preserve">RUS/Щёлково </t>
  </si>
  <si>
    <t>Мастера 40-49 (29.09.1971)/48</t>
  </si>
  <si>
    <t>Гаджикурбанов Беглар</t>
  </si>
  <si>
    <t>Открытая (31.01.1981)/38</t>
  </si>
  <si>
    <t>99,40</t>
  </si>
  <si>
    <t>Шамхалов А., Исрапилов М.</t>
  </si>
  <si>
    <t>Дурандин Сергей</t>
  </si>
  <si>
    <t>Открытая (04.05.1974)/45</t>
  </si>
  <si>
    <t xml:space="preserve">   RUS/Рязань</t>
  </si>
  <si>
    <t>RUS/Санкт-Петербург</t>
  </si>
  <si>
    <t>Давыдов Александр</t>
  </si>
  <si>
    <t>Открытая (26.04.1990)/29</t>
  </si>
  <si>
    <t>90,50</t>
  </si>
  <si>
    <t>Тузов Алексей</t>
  </si>
  <si>
    <t>Открытая (21.05.1989)/30</t>
  </si>
  <si>
    <t xml:space="preserve">Гулевский А. </t>
  </si>
  <si>
    <t>Мастера 40-49 (04.05.1974)/45</t>
  </si>
  <si>
    <t>Леоненко Василий</t>
  </si>
  <si>
    <t>Мастера 50-59 (06.04.1967)/52</t>
  </si>
  <si>
    <t>93,80</t>
  </si>
  <si>
    <t xml:space="preserve">RUS/Алушта </t>
  </si>
  <si>
    <t>Похватько Р.</t>
  </si>
  <si>
    <t>Макаров Владимир</t>
  </si>
  <si>
    <t>Мастера 70-79 (25.07.1946)/73</t>
  </si>
  <si>
    <t xml:space="preserve">RUS/Собинка </t>
  </si>
  <si>
    <t>Кулебякин Руслан</t>
  </si>
  <si>
    <t>Открытая (26.02.1991)/28</t>
  </si>
  <si>
    <t>Стародубский С.</t>
  </si>
  <si>
    <t>Стрижков Андрей</t>
  </si>
  <si>
    <t>Открытая (03.01.1984)/35</t>
  </si>
  <si>
    <t xml:space="preserve">RUS/Острогожск </t>
  </si>
  <si>
    <t xml:space="preserve">Изюменко В. </t>
  </si>
  <si>
    <t>Солнцев Виктор</t>
  </si>
  <si>
    <t>Мастера 60-69 (02.02.1957)/62</t>
  </si>
  <si>
    <t>104,00</t>
  </si>
  <si>
    <t xml:space="preserve">RUS/Череповец </t>
  </si>
  <si>
    <t>Унежев Владимир</t>
  </si>
  <si>
    <t>Мастера 60-69 (19.01.1952)/67</t>
  </si>
  <si>
    <t>103,50</t>
  </si>
  <si>
    <t xml:space="preserve"> RUS/Нижний Круп</t>
  </si>
  <si>
    <t>Жигарев Олег</t>
  </si>
  <si>
    <t>Юниоры (06.09.1997)/22</t>
  </si>
  <si>
    <t>122,60</t>
  </si>
  <si>
    <t>Кляхин Антон</t>
  </si>
  <si>
    <t>Открытая (28.04.1993)/26</t>
  </si>
  <si>
    <t>115,60</t>
  </si>
  <si>
    <t xml:space="preserve">Пыткин М. </t>
  </si>
  <si>
    <t>Сидоров Дмитрий</t>
  </si>
  <si>
    <t>Мастера 40-49 (04.05.1977)/42</t>
  </si>
  <si>
    <t>124,30</t>
  </si>
  <si>
    <t>Vedmedovskijs Sergejs</t>
  </si>
  <si>
    <t>Мастера 60-69 (31.12.1957)/61</t>
  </si>
  <si>
    <t>116,20</t>
  </si>
  <si>
    <t>Шевченко Владимир</t>
  </si>
  <si>
    <t>Открытая (21.07.1991)/28</t>
  </si>
  <si>
    <t>151,60</t>
  </si>
  <si>
    <t xml:space="preserve">Касараев С. </t>
  </si>
  <si>
    <t>262,5705</t>
  </si>
  <si>
    <t>249,5412</t>
  </si>
  <si>
    <t>247,5220</t>
  </si>
  <si>
    <t>224,0138</t>
  </si>
  <si>
    <t>219,6180</t>
  </si>
  <si>
    <t>219,5325</t>
  </si>
  <si>
    <t>328,6590</t>
  </si>
  <si>
    <t>472,5</t>
  </si>
  <si>
    <t>288,2722</t>
  </si>
  <si>
    <t>507,5</t>
  </si>
  <si>
    <t>287,3465</t>
  </si>
  <si>
    <t>385,0</t>
  </si>
  <si>
    <t>314,5816</t>
  </si>
  <si>
    <t>298,2061</t>
  </si>
  <si>
    <t>289,6553</t>
  </si>
  <si>
    <t>V Чемпионат мира WRPF
WRPF любители Силовое двоеборье без экипировки
Москва, 4 - 8 декабря 2019 года</t>
  </si>
  <si>
    <t>Чуприна Мария</t>
  </si>
  <si>
    <t>Открытая (19.09.1993)/26</t>
  </si>
  <si>
    <t xml:space="preserve">Картоев Р. </t>
  </si>
  <si>
    <t>Малиновская Виктория</t>
  </si>
  <si>
    <t>Открытая (05.10.1983)/36</t>
  </si>
  <si>
    <t>72,10</t>
  </si>
  <si>
    <t xml:space="preserve">RUS/Волжский </t>
  </si>
  <si>
    <t xml:space="preserve">Козырев О. </t>
  </si>
  <si>
    <t>Мельник Ксения</t>
  </si>
  <si>
    <t>Открытая (03.03.1991)/28</t>
  </si>
  <si>
    <t xml:space="preserve">  LVA/Рига</t>
  </si>
  <si>
    <t>Безручко Тимофей</t>
  </si>
  <si>
    <t>Юноши 14-16 (12.10.2004)/15</t>
  </si>
  <si>
    <t>59,60</t>
  </si>
  <si>
    <t>Корунов Виктор</t>
  </si>
  <si>
    <t>Открытая (01.05.1959)/60</t>
  </si>
  <si>
    <t>65,10</t>
  </si>
  <si>
    <t>Мастера 60-69 (01.05.1959)/60</t>
  </si>
  <si>
    <t>Замотин Алексей</t>
  </si>
  <si>
    <t>Открытая (21.09.1986)/33</t>
  </si>
  <si>
    <t>Краснояров Виталий</t>
  </si>
  <si>
    <t>Открытая (19.11.1993)/26</t>
  </si>
  <si>
    <t>Горюнов Владимир</t>
  </si>
  <si>
    <t>Мастера 60-69 (02.02.1953)/66</t>
  </si>
  <si>
    <t>Губанов Александр</t>
  </si>
  <si>
    <t>Мастера 60-69 (06.02.1951)/68</t>
  </si>
  <si>
    <t>79,30</t>
  </si>
  <si>
    <t>Кистанов Владимир</t>
  </si>
  <si>
    <t>Открытая (15.04.1991)/28</t>
  </si>
  <si>
    <t xml:space="preserve">Гусейнов И. </t>
  </si>
  <si>
    <t>Курдюков Сергей</t>
  </si>
  <si>
    <t>Открытая (04.02.1986)/33</t>
  </si>
  <si>
    <t>Мастера 40-49 (06.12.1974)/44</t>
  </si>
  <si>
    <t>Vishal K.</t>
  </si>
  <si>
    <t xml:space="preserve"> BLR/Береза</t>
  </si>
  <si>
    <t>Корчагин Александр</t>
  </si>
  <si>
    <t>Открытая (15.11.1989)/30</t>
  </si>
  <si>
    <t xml:space="preserve"> LVA/Резекне</t>
  </si>
  <si>
    <t>Бондарев Иван</t>
  </si>
  <si>
    <t>Открытая (09.09.1992)/27</t>
  </si>
  <si>
    <t xml:space="preserve">RUS/Губкин </t>
  </si>
  <si>
    <t>Ипполитов Александр</t>
  </si>
  <si>
    <t>Открытая (09.02.1989)/30</t>
  </si>
  <si>
    <t xml:space="preserve">Яценко М. </t>
  </si>
  <si>
    <t>Романов Сергей</t>
  </si>
  <si>
    <t>Мастера 40-49 (20.07.1977)/42</t>
  </si>
  <si>
    <t>Cirulis Ivars</t>
  </si>
  <si>
    <t>Мастера 40-49 (26.11.1979)/40</t>
  </si>
  <si>
    <t xml:space="preserve">LVA/Dobele </t>
  </si>
  <si>
    <t>Прокофьев Никита</t>
  </si>
  <si>
    <t>Юниоры (27.06.1998)/21</t>
  </si>
  <si>
    <t>118,30</t>
  </si>
  <si>
    <t>Augylius Kestutis</t>
  </si>
  <si>
    <t>Открытая (17.08.1982)/37</t>
  </si>
  <si>
    <t>114,80</t>
  </si>
  <si>
    <t>Augilus J.</t>
  </si>
  <si>
    <t>Меньщиков Станислав</t>
  </si>
  <si>
    <t>Открытая (31.03.1989)/30</t>
  </si>
  <si>
    <t>111,90</t>
  </si>
  <si>
    <t>Открытая (27.06.1998)/21</t>
  </si>
  <si>
    <t>Кожевников Александр</t>
  </si>
  <si>
    <t>Открытая (03.09.1992)/27</t>
  </si>
  <si>
    <t>116,10</t>
  </si>
  <si>
    <t>Klein Jordan</t>
  </si>
  <si>
    <t>Открытая (06.07.1995)/24</t>
  </si>
  <si>
    <t xml:space="preserve">ISR/Moshav Shear Yashuv </t>
  </si>
  <si>
    <t>340,2280</t>
  </si>
  <si>
    <t>460,5</t>
  </si>
  <si>
    <t>329,3496</t>
  </si>
  <si>
    <t>323,9880</t>
  </si>
  <si>
    <t>369,1287</t>
  </si>
  <si>
    <t>351,7319</t>
  </si>
  <si>
    <t>457,5</t>
  </si>
  <si>
    <t>343,2729</t>
  </si>
  <si>
    <t>V Чемпионат мира WRPF
WEPF любители Силовое двоеборье в экипировке ДК
Москва, 4 - 8 декабря 2019 года</t>
  </si>
  <si>
    <t>Касараев Сергей</t>
  </si>
  <si>
    <t>Открытая (18.02.1974)/45</t>
  </si>
  <si>
    <t>Мастера 40-49 (18.02.1974)/45</t>
  </si>
  <si>
    <t>V Чемпионат мира WRPF
WRPF любители Жим лежа без экипировки ДК
Москва, 4 - 8 декабря 2019 года</t>
  </si>
  <si>
    <t>Результат</t>
  </si>
  <si>
    <t>Мочалова Надежда</t>
  </si>
  <si>
    <t>Девушки 14-16 (22.02.2004)/15</t>
  </si>
  <si>
    <t xml:space="preserve">Мочалов И. </t>
  </si>
  <si>
    <t>Попова София</t>
  </si>
  <si>
    <t>Девушки 14-16 (02.03.2003)/16</t>
  </si>
  <si>
    <t>45,40</t>
  </si>
  <si>
    <t xml:space="preserve">Биктагиров В. </t>
  </si>
  <si>
    <t>Качурина Анастасия</t>
  </si>
  <si>
    <t>Открытая (12.09.1994)/25</t>
  </si>
  <si>
    <t>47,00</t>
  </si>
  <si>
    <t xml:space="preserve">Суший И. </t>
  </si>
  <si>
    <t>Няшина Татьяна</t>
  </si>
  <si>
    <t>Открытая (06.12.1989)/29</t>
  </si>
  <si>
    <t xml:space="preserve">Парфенов А. </t>
  </si>
  <si>
    <t>Федосеева Дарья</t>
  </si>
  <si>
    <t>Девушки 17-19 (09.08.2000)/19</t>
  </si>
  <si>
    <t xml:space="preserve">Шевченко С. </t>
  </si>
  <si>
    <t>Макаренко Елена</t>
  </si>
  <si>
    <t>Девушки 17-19 (23.02.2000)/19</t>
  </si>
  <si>
    <t>50,30</t>
  </si>
  <si>
    <t xml:space="preserve">BLR/Витебск </t>
  </si>
  <si>
    <t xml:space="preserve">Лисютин М. </t>
  </si>
  <si>
    <t>Открытая (09.08.2000)/19</t>
  </si>
  <si>
    <t>Токарева Алина</t>
  </si>
  <si>
    <t>Девушки 14-16 (24.06.2004)/15</t>
  </si>
  <si>
    <t>55,10</t>
  </si>
  <si>
    <t xml:space="preserve">RUS/Ступино </t>
  </si>
  <si>
    <t xml:space="preserve">Шишлянников Д. </t>
  </si>
  <si>
    <t>Самашова Екатерина</t>
  </si>
  <si>
    <t>Девушки 17-19 (10.09.2000)/19</t>
  </si>
  <si>
    <t>Чинчилей Анастасия</t>
  </si>
  <si>
    <t>Юниорки (06.06.1997)/22</t>
  </si>
  <si>
    <t>55,40</t>
  </si>
  <si>
    <t xml:space="preserve">RUS/Солнечногорск </t>
  </si>
  <si>
    <t xml:space="preserve">Зайцев В. </t>
  </si>
  <si>
    <t>Мостовая Мария</t>
  </si>
  <si>
    <t>Открытая (19.11.1985)/34</t>
  </si>
  <si>
    <t>55,00</t>
  </si>
  <si>
    <t xml:space="preserve">Белов А. </t>
  </si>
  <si>
    <t>Шмелева Марина</t>
  </si>
  <si>
    <t>Открытая (04.04.1988)/31</t>
  </si>
  <si>
    <t>Пантелева Елена</t>
  </si>
  <si>
    <t>Открытая (05.05.1987)/32</t>
  </si>
  <si>
    <t>55,60</t>
  </si>
  <si>
    <t xml:space="preserve">RUS/Видное </t>
  </si>
  <si>
    <t xml:space="preserve">Зайцев Е. </t>
  </si>
  <si>
    <t>Баннова Екатерина</t>
  </si>
  <si>
    <t>Открытая (12.02.1986)/33</t>
  </si>
  <si>
    <t>54,00</t>
  </si>
  <si>
    <t xml:space="preserve">Почечуй Д. </t>
  </si>
  <si>
    <t>Русанова Софья</t>
  </si>
  <si>
    <t>Девушки 14-16 (04.05.2003)/16</t>
  </si>
  <si>
    <t>58,00</t>
  </si>
  <si>
    <t>Татьянина Юлия</t>
  </si>
  <si>
    <t>Открытая (13.02.1989)/30</t>
  </si>
  <si>
    <t>101,0</t>
  </si>
  <si>
    <t>Игнатенко Юлия</t>
  </si>
  <si>
    <t>Открытая (17.09.1985)/34</t>
  </si>
  <si>
    <t>58,10</t>
  </si>
  <si>
    <t>Абрамова Елена</t>
  </si>
  <si>
    <t>58,20</t>
  </si>
  <si>
    <t xml:space="preserve">RUS/Щёкино </t>
  </si>
  <si>
    <t>Капитонова Гульнара</t>
  </si>
  <si>
    <t>56,70</t>
  </si>
  <si>
    <t>Хлебникова Дарья</t>
  </si>
  <si>
    <t>Воронова София</t>
  </si>
  <si>
    <t>Юниорки (20.11.1998)/21</t>
  </si>
  <si>
    <t>62,50</t>
  </si>
  <si>
    <t xml:space="preserve">Ольховский А. </t>
  </si>
  <si>
    <t>Корецкая Мария</t>
  </si>
  <si>
    <t>Открытая (11.10.1981)/38</t>
  </si>
  <si>
    <t>63,50</t>
  </si>
  <si>
    <t>Рикман Элина</t>
  </si>
  <si>
    <t>Открытая (03.07.1999)/20</t>
  </si>
  <si>
    <t>Открытая (20.11.1998)/21</t>
  </si>
  <si>
    <t>Ромасенко Ирина</t>
  </si>
  <si>
    <t>Мастера 40-49 (22.12.1975)/43</t>
  </si>
  <si>
    <t>65,00</t>
  </si>
  <si>
    <t>Федюнина Яна</t>
  </si>
  <si>
    <t>Мастера 40-49 (15.11.1975)/44</t>
  </si>
  <si>
    <t xml:space="preserve">Прагин Р. </t>
  </si>
  <si>
    <t>Образцова Татьяна</t>
  </si>
  <si>
    <t>Мастера 40-49 (02.07.1978)/41</t>
  </si>
  <si>
    <t xml:space="preserve">RUS/Ржев </t>
  </si>
  <si>
    <t xml:space="preserve">Сапожонков А. </t>
  </si>
  <si>
    <t>Смородина Лариса</t>
  </si>
  <si>
    <t>Мастера 50-59 (11.08.1966)/53</t>
  </si>
  <si>
    <t xml:space="preserve">Семенихин И. </t>
  </si>
  <si>
    <t>Агапова Мария</t>
  </si>
  <si>
    <t>Девушки 14-16 (02.12.2004)/15</t>
  </si>
  <si>
    <t>69,80</t>
  </si>
  <si>
    <t>Агапов Д.</t>
  </si>
  <si>
    <t>Матвиенко Надежда</t>
  </si>
  <si>
    <t>Открытая (27.07.1964)/55</t>
  </si>
  <si>
    <t>Мастера 50-59 (27.07.1964)/55</t>
  </si>
  <si>
    <t>Лайзан Мария</t>
  </si>
  <si>
    <t>85,10</t>
  </si>
  <si>
    <t>Ромасенко Даниил</t>
  </si>
  <si>
    <t>Юноши 14-16 (19.02.2008)/11</t>
  </si>
  <si>
    <t>44,10</t>
  </si>
  <si>
    <t>Сергеенко Никита</t>
  </si>
  <si>
    <t>Юноши 14-16 (24.06.2004)/15</t>
  </si>
  <si>
    <t>48,50</t>
  </si>
  <si>
    <t>Абдиев Максим</t>
  </si>
  <si>
    <t>Юниоры (24.06.1996)/23</t>
  </si>
  <si>
    <t xml:space="preserve">Небыков А. </t>
  </si>
  <si>
    <t>Арцимовский Дмитрий</t>
  </si>
  <si>
    <t>Юноши 14-16 (03.03.2004)/15</t>
  </si>
  <si>
    <t>Биктагиров Влад</t>
  </si>
  <si>
    <t>Юноши 17-19 (03.03.2001)/18</t>
  </si>
  <si>
    <t>Касумов Магомед</t>
  </si>
  <si>
    <t>Юноши 17-19 (13.12.2001)/17</t>
  </si>
  <si>
    <t>55,90</t>
  </si>
  <si>
    <t xml:space="preserve"> RUS/Алкадар</t>
  </si>
  <si>
    <t xml:space="preserve">Абдурахманов З. </t>
  </si>
  <si>
    <t>Мальсагов Муслим</t>
  </si>
  <si>
    <t>Открытая (26.07.2000)/19</t>
  </si>
  <si>
    <t>53,70</t>
  </si>
  <si>
    <t xml:space="preserve">Котиев Х. </t>
  </si>
  <si>
    <t>Чурсанов Максим</t>
  </si>
  <si>
    <t>Юниоры (18.02.1997)/22</t>
  </si>
  <si>
    <t>Сагдиев Тимур</t>
  </si>
  <si>
    <t>Юниоры (27.08.1997)/22</t>
  </si>
  <si>
    <t xml:space="preserve">RUS/Набережные Челны </t>
  </si>
  <si>
    <t xml:space="preserve">Сагдиев Р. </t>
  </si>
  <si>
    <t>Кривцев Александр</t>
  </si>
  <si>
    <t>Юниоры (17.04.1998)/21</t>
  </si>
  <si>
    <t>56,10</t>
  </si>
  <si>
    <t>Архипов Алексей</t>
  </si>
  <si>
    <t>Мастера 40-49 (19.01.1974)/45</t>
  </si>
  <si>
    <t>Сердюченко Юрий</t>
  </si>
  <si>
    <t>58,30</t>
  </si>
  <si>
    <t xml:space="preserve">Петрокович Н., Петрокович Е. </t>
  </si>
  <si>
    <t>Загудаев Леонид</t>
  </si>
  <si>
    <t>Юноши 14-16 (19.07.2002)/17</t>
  </si>
  <si>
    <t xml:space="preserve">  RUS/Сызрань</t>
  </si>
  <si>
    <t>Кучин И.</t>
  </si>
  <si>
    <t>Колесов Карим</t>
  </si>
  <si>
    <t>Юноши 14-16 (15.10.2003)/16</t>
  </si>
  <si>
    <t xml:space="preserve">Скорятин А. </t>
  </si>
  <si>
    <t>Заргарян Сергей</t>
  </si>
  <si>
    <t>Юноши 17-19 (15.01.2000)/19</t>
  </si>
  <si>
    <t>65,40</t>
  </si>
  <si>
    <t xml:space="preserve">ARM/Ереван </t>
  </si>
  <si>
    <t>Сычев Данила</t>
  </si>
  <si>
    <t>Юноши 17-19 (02.06.2002)/17</t>
  </si>
  <si>
    <t>66,00</t>
  </si>
  <si>
    <t>Павлушин Евгений</t>
  </si>
  <si>
    <t>Юноши 17-19 (09.02.2000)/19</t>
  </si>
  <si>
    <t>63,30</t>
  </si>
  <si>
    <t>Рощин Александр</t>
  </si>
  <si>
    <t>Юниоры (01.07.1998)/21</t>
  </si>
  <si>
    <t xml:space="preserve">RUS/Чехов </t>
  </si>
  <si>
    <t>Гайда Кирилл</t>
  </si>
  <si>
    <t>Юниоры (01.09.1999)/20</t>
  </si>
  <si>
    <t xml:space="preserve">Именьев А. </t>
  </si>
  <si>
    <t>Дошаклоев Рахман</t>
  </si>
  <si>
    <t>Открытая (10.10.1992)/27</t>
  </si>
  <si>
    <t>Кучин Игорь</t>
  </si>
  <si>
    <t>Открытая (11.06.1967)/52</t>
  </si>
  <si>
    <t xml:space="preserve"> RUS/Сызрань</t>
  </si>
  <si>
    <t>Ибрагимов Ясеф</t>
  </si>
  <si>
    <t>Открытая (01.12.1991)/28</t>
  </si>
  <si>
    <t xml:space="preserve">AZE/Шемаха </t>
  </si>
  <si>
    <t>Машистов Владислав</t>
  </si>
  <si>
    <t>Открытая (02.08.1987)/32</t>
  </si>
  <si>
    <t xml:space="preserve">  RUS/Электросталь</t>
  </si>
  <si>
    <t>Филин Сергей</t>
  </si>
  <si>
    <t>Открытая (17.08.1990)/29</t>
  </si>
  <si>
    <t>63,90</t>
  </si>
  <si>
    <t xml:space="preserve">RUS/Меленки </t>
  </si>
  <si>
    <t>Мастера 50-59 (11.06.1967)/52</t>
  </si>
  <si>
    <t>Вильчицкий Анатолий</t>
  </si>
  <si>
    <t>Мастера 60-69 (24.08.1955)/64</t>
  </si>
  <si>
    <t>66,80</t>
  </si>
  <si>
    <t xml:space="preserve">RUS/Вологда </t>
  </si>
  <si>
    <t xml:space="preserve">Логунов А. </t>
  </si>
  <si>
    <t>Лойко Артем</t>
  </si>
  <si>
    <t>Юноши 14-16 (08.04.2003)/16</t>
  </si>
  <si>
    <t xml:space="preserve">RUS/Майкоп </t>
  </si>
  <si>
    <t xml:space="preserve">Лойко И. </t>
  </si>
  <si>
    <t>Шишлянников Даниил</t>
  </si>
  <si>
    <t>Юноши 17-19 (05.04.2002)/17</t>
  </si>
  <si>
    <t>67,90</t>
  </si>
  <si>
    <t>Голиков Роман</t>
  </si>
  <si>
    <t>Юноши 17-19 (19.06.2000)/19</t>
  </si>
  <si>
    <t>69,40</t>
  </si>
  <si>
    <t>Сыроватский Никита</t>
  </si>
  <si>
    <t>Юноши 17-19 (09.07.2002)/17</t>
  </si>
  <si>
    <t>Сулейманов Тимур</t>
  </si>
  <si>
    <t>Юниоры (20.01.1996)/23</t>
  </si>
  <si>
    <t xml:space="preserve">RUS/Евпатория </t>
  </si>
  <si>
    <t>Раматов Акжол</t>
  </si>
  <si>
    <t>Юниоры (29.03.1996)/23</t>
  </si>
  <si>
    <t>KGZ/Каракол</t>
  </si>
  <si>
    <t xml:space="preserve">Раматов М. </t>
  </si>
  <si>
    <t>RUS/Южно-Сахалинск</t>
  </si>
  <si>
    <t>Владимиров Александр</t>
  </si>
  <si>
    <t>Открытая (06.02.1982)/37</t>
  </si>
  <si>
    <t>191,0</t>
  </si>
  <si>
    <t xml:space="preserve">Немнонов С. </t>
  </si>
  <si>
    <t>Рзаев Рамин</t>
  </si>
  <si>
    <t>Открытая (24.07.1980)/39</t>
  </si>
  <si>
    <t>Открытая (29.03.1996)/23</t>
  </si>
  <si>
    <t xml:space="preserve"> KGZ/Каракол</t>
  </si>
  <si>
    <t>Рассохин Александр</t>
  </si>
  <si>
    <t>Открытая (08.10.1985)/34</t>
  </si>
  <si>
    <t xml:space="preserve"> RUS/Великий Устюг</t>
  </si>
  <si>
    <t>Абдюшев Артур</t>
  </si>
  <si>
    <t>Открытая (28.02.1993)/26</t>
  </si>
  <si>
    <t>73,80</t>
  </si>
  <si>
    <t xml:space="preserve">RUS/Светлый Яр </t>
  </si>
  <si>
    <t xml:space="preserve">Двизов Ю. </t>
  </si>
  <si>
    <t>Мазуренко Станислав</t>
  </si>
  <si>
    <t>Открытая (20.06.1987)/32</t>
  </si>
  <si>
    <t>74,10</t>
  </si>
  <si>
    <t>Головченко Виктор</t>
  </si>
  <si>
    <t>Открытая (27.11.1994)/25</t>
  </si>
  <si>
    <t xml:space="preserve">UKR/Харьков </t>
  </si>
  <si>
    <t>Губенко Игорь</t>
  </si>
  <si>
    <t>Открытая (16.07.1971)/48</t>
  </si>
  <si>
    <t>Glonti Soso</t>
  </si>
  <si>
    <t>Открытая (18.04.1990)/29</t>
  </si>
  <si>
    <t xml:space="preserve">GEO/Tbilisi </t>
  </si>
  <si>
    <t>Марина Игорь</t>
  </si>
  <si>
    <t>72,20</t>
  </si>
  <si>
    <t>Евсеев Игорь</t>
  </si>
  <si>
    <t>Открытая (30.07.1988)/31</t>
  </si>
  <si>
    <t>Килимов Сергей</t>
  </si>
  <si>
    <t xml:space="preserve"> RUS/Москва</t>
  </si>
  <si>
    <t>Ермолов Сергей</t>
  </si>
  <si>
    <t>Открытая (03.07.1995)/24</t>
  </si>
  <si>
    <t>Бондяшов Владимир</t>
  </si>
  <si>
    <t>Открытая (05.07.1992)/27</t>
  </si>
  <si>
    <t xml:space="preserve">Харина В. </t>
  </si>
  <si>
    <t>Федоров Артемий</t>
  </si>
  <si>
    <t>Открытая (01.09.1992)/27</t>
  </si>
  <si>
    <t>Хрузов Ян</t>
  </si>
  <si>
    <t>Открытая (22.08.1991)/28</t>
  </si>
  <si>
    <t>Токарев Алексей</t>
  </si>
  <si>
    <t>Открытая (21.10.1991)/28</t>
  </si>
  <si>
    <t>Мастера 40-49 (16.07.1971)/48</t>
  </si>
  <si>
    <t>Рудычев Сергей</t>
  </si>
  <si>
    <t>Мастера 40-49 (08.06.1974)/45</t>
  </si>
  <si>
    <t xml:space="preserve">RUS/Бирюч </t>
  </si>
  <si>
    <t xml:space="preserve">Татаркин А. </t>
  </si>
  <si>
    <t>Артемов Дмитрий</t>
  </si>
  <si>
    <t>Мастера 40-49 (14.10.1975)/44</t>
  </si>
  <si>
    <t xml:space="preserve">RUS/Прокопьевск </t>
  </si>
  <si>
    <t xml:space="preserve">Тюленев А. </t>
  </si>
  <si>
    <t>Винокуров Олег</t>
  </si>
  <si>
    <t>Мастера 50-59 (10.05.1966)/53</t>
  </si>
  <si>
    <t>Вринчан Владимир</t>
  </si>
  <si>
    <t>Мастера 60-69 (14.11.1954)/65</t>
  </si>
  <si>
    <t xml:space="preserve">RUS/Губкинский </t>
  </si>
  <si>
    <t xml:space="preserve">Татьянина Ю. </t>
  </si>
  <si>
    <t>Двизов Юрий</t>
  </si>
  <si>
    <t>Мастера 70-79 (05.02.1947)/72</t>
  </si>
  <si>
    <t>Салосалов Сергей</t>
  </si>
  <si>
    <t>Юноши 14-16 (11.09.2004)/15</t>
  </si>
  <si>
    <t xml:space="preserve"> RUS/Щелково</t>
  </si>
  <si>
    <t>Салосалов С.</t>
  </si>
  <si>
    <t>Аксенов Филипп</t>
  </si>
  <si>
    <t>Юноши 14-16 (29.08.2003)/16</t>
  </si>
  <si>
    <t xml:space="preserve">Никитин В. </t>
  </si>
  <si>
    <t>Кузнецов Дмитрий</t>
  </si>
  <si>
    <t>Юноши 17-19 (26.11.2000)/19</t>
  </si>
  <si>
    <t>Филатов Иван</t>
  </si>
  <si>
    <t>Юноши 17-19 (27.09.2002)/17</t>
  </si>
  <si>
    <t xml:space="preserve">Шишлин И. </t>
  </si>
  <si>
    <t>Ильин Александр</t>
  </si>
  <si>
    <t>Юниоры (31.12.1998)/20</t>
  </si>
  <si>
    <t>Степанов Кирилл</t>
  </si>
  <si>
    <t>Юниоры (16.06.1998)/21</t>
  </si>
  <si>
    <t xml:space="preserve">Исаев А. </t>
  </si>
  <si>
    <t>Малолетнев Игорь</t>
  </si>
  <si>
    <t>Юниоры (22.08.1996)/23</t>
  </si>
  <si>
    <t>Иляскин Владислав</t>
  </si>
  <si>
    <t>Юниоры (31.01.1996)/23</t>
  </si>
  <si>
    <t xml:space="preserve">RUS/Ковылкино </t>
  </si>
  <si>
    <t>Крейнис П.</t>
  </si>
  <si>
    <t>Григорян Эдуард</t>
  </si>
  <si>
    <t>Открытая (12.05.1977)/42</t>
  </si>
  <si>
    <t>Калинин Андрей</t>
  </si>
  <si>
    <t>Открытая (06.03.1984)/35</t>
  </si>
  <si>
    <t xml:space="preserve">Шилкин О. </t>
  </si>
  <si>
    <t>Песков Роман</t>
  </si>
  <si>
    <t>Открытая (26.04.1985)/34</t>
  </si>
  <si>
    <t>Цветков Павел</t>
  </si>
  <si>
    <t>Открытая (15.10.1988)/31</t>
  </si>
  <si>
    <t xml:space="preserve">Цветков В. </t>
  </si>
  <si>
    <t>Владимиров Владимир</t>
  </si>
  <si>
    <t>Открытая (30.04.1993)/26</t>
  </si>
  <si>
    <t>Беляев Владимир</t>
  </si>
  <si>
    <t>Открытая (27.01.1984)/35</t>
  </si>
  <si>
    <t>Открытая (04.12.1991)/27</t>
  </si>
  <si>
    <t>Голубка Артем</t>
  </si>
  <si>
    <t>Открытая (27.08.1984)/35</t>
  </si>
  <si>
    <t xml:space="preserve">RUS/Кадуй </t>
  </si>
  <si>
    <t>Новиков Павел</t>
  </si>
  <si>
    <t>Открытая (16.10.1993)/26</t>
  </si>
  <si>
    <t>Чебурков Александр</t>
  </si>
  <si>
    <t>Борисевич Кирилл</t>
  </si>
  <si>
    <t>Открытая (16.07.1994)/25</t>
  </si>
  <si>
    <t>81,30</t>
  </si>
  <si>
    <t xml:space="preserve">RUS/Карталы </t>
  </si>
  <si>
    <t>Шаров Игорь</t>
  </si>
  <si>
    <t>Открытая (05.06.1989)/30</t>
  </si>
  <si>
    <t>78,90</t>
  </si>
  <si>
    <t>Сократов Дмитрий</t>
  </si>
  <si>
    <t>Открытая (10.06.1983)/36</t>
  </si>
  <si>
    <t xml:space="preserve">Сидоренко П. </t>
  </si>
  <si>
    <t>Бельков Игорь</t>
  </si>
  <si>
    <t>Открытая (08.03.1983)/36</t>
  </si>
  <si>
    <t>Годин Александр</t>
  </si>
  <si>
    <t>Открытая (22.09.1987)/32</t>
  </si>
  <si>
    <t>Марченко Евгений</t>
  </si>
  <si>
    <t>Открытая (05.04.1991)/28</t>
  </si>
  <si>
    <t xml:space="preserve">Сидоров Е. </t>
  </si>
  <si>
    <t>Козырев Сергей</t>
  </si>
  <si>
    <t>Открытая (07.02.1983)/36</t>
  </si>
  <si>
    <t xml:space="preserve">RUS/Хотьково </t>
  </si>
  <si>
    <t xml:space="preserve">Люситин М. </t>
  </si>
  <si>
    <t>20</t>
  </si>
  <si>
    <t>Костин Дмитрий</t>
  </si>
  <si>
    <t>Открытая (15.03.1987)/32</t>
  </si>
  <si>
    <t>78,30</t>
  </si>
  <si>
    <t>Сокол Андрей</t>
  </si>
  <si>
    <t>Открытая (22.05.1987)/32</t>
  </si>
  <si>
    <t>Мастера 40-49 (12.05.1977)/42</t>
  </si>
  <si>
    <t>Гуляйко Евгений</t>
  </si>
  <si>
    <t>Мастера 40-49 (17.07.1975)/44</t>
  </si>
  <si>
    <t>Туйтебаев Балташ</t>
  </si>
  <si>
    <t>Мастера 40-49 (13.06.1977)/42</t>
  </si>
  <si>
    <t xml:space="preserve">Гаголин А. </t>
  </si>
  <si>
    <t>Потапов Эдуард</t>
  </si>
  <si>
    <t>Мастера 50-59 (21.01.1968)/51</t>
  </si>
  <si>
    <t>Тюленев Александр</t>
  </si>
  <si>
    <t>Мастера 50-59 (26.08.1968)/51</t>
  </si>
  <si>
    <t>Мещеряков Андрей</t>
  </si>
  <si>
    <t>Мастера 50-59 (28.10.1965)/54</t>
  </si>
  <si>
    <t>79,00</t>
  </si>
  <si>
    <t xml:space="preserve"> RUS/Реутово</t>
  </si>
  <si>
    <t>Емельянов К.</t>
  </si>
  <si>
    <t>Руденко Сергей</t>
  </si>
  <si>
    <t>Мастера 60-69 (11.07.1959)/60</t>
  </si>
  <si>
    <t>Клименко Владимир</t>
  </si>
  <si>
    <t>Мастера 70-79 (12.03.1945)/74</t>
  </si>
  <si>
    <t xml:space="preserve">RUS/Нахабино </t>
  </si>
  <si>
    <t xml:space="preserve">Наумов А. </t>
  </si>
  <si>
    <t>Федотов Виктор</t>
  </si>
  <si>
    <t>Юноши 17-19 (21.01.2002)/17</t>
  </si>
  <si>
    <t xml:space="preserve">Каракчеев Н. </t>
  </si>
  <si>
    <t>Лапин Эдуард</t>
  </si>
  <si>
    <t>Юниоры (24.03.1996)/23</t>
  </si>
  <si>
    <t>Кашпар Константин</t>
  </si>
  <si>
    <t>Юниоры (03.11.1997)/22</t>
  </si>
  <si>
    <t>Евдокимов Игорь</t>
  </si>
  <si>
    <t>Юниоры (09.06.1998)/21</t>
  </si>
  <si>
    <t>Своровский Георгий</t>
  </si>
  <si>
    <t>Юниоры (30.05.1997)/22</t>
  </si>
  <si>
    <t>Росляков Сергей</t>
  </si>
  <si>
    <t>Открытая (08.12.1986)/32</t>
  </si>
  <si>
    <t xml:space="preserve">RUS/Красноярск </t>
  </si>
  <si>
    <t xml:space="preserve">Гришечко Р. </t>
  </si>
  <si>
    <t>Мазур Евгений</t>
  </si>
  <si>
    <t>Открытая (30.11.1990)/29</t>
  </si>
  <si>
    <t>Якименко В.</t>
  </si>
  <si>
    <t>Извеков Анатолий</t>
  </si>
  <si>
    <t>Открытая (16.04.1988)/31</t>
  </si>
  <si>
    <t>Открытая (24.03.1996)/23</t>
  </si>
  <si>
    <t>Шваков Дмитрий</t>
  </si>
  <si>
    <t>Открытая (01.01.1984)/35</t>
  </si>
  <si>
    <t>Торган Дмитрий</t>
  </si>
  <si>
    <t>Открытая (21.12.1991)/27</t>
  </si>
  <si>
    <t>83,20</t>
  </si>
  <si>
    <t>Рублев Михаил</t>
  </si>
  <si>
    <t>Открытая (07.06.1979)/40</t>
  </si>
  <si>
    <t xml:space="preserve">RUS/Жуковский </t>
  </si>
  <si>
    <t>Траваев Александр</t>
  </si>
  <si>
    <t>Открытая (23.01.1986)/33</t>
  </si>
  <si>
    <t>Смирнов Александр</t>
  </si>
  <si>
    <t>Открытая (28.03.1985)/34</t>
  </si>
  <si>
    <t>86,10</t>
  </si>
  <si>
    <t xml:space="preserve">Данелян С. </t>
  </si>
  <si>
    <t>Усатов Николай</t>
  </si>
  <si>
    <t>88,60</t>
  </si>
  <si>
    <t>Горовенко Дмитрий</t>
  </si>
  <si>
    <t>Открытая (17.01.1995)/24</t>
  </si>
  <si>
    <t xml:space="preserve">Ильченко А. </t>
  </si>
  <si>
    <t>Федин Виталий</t>
  </si>
  <si>
    <t>Открытая (30.11.1987)/32</t>
  </si>
  <si>
    <t>Мамедов Алим</t>
  </si>
  <si>
    <t>Открытая (24.12.1983)/35</t>
  </si>
  <si>
    <t>Курбонов Амирхон</t>
  </si>
  <si>
    <t>Открытая (04.12.1989)/30</t>
  </si>
  <si>
    <t xml:space="preserve">RUS/Дедовск </t>
  </si>
  <si>
    <t>Воронцов Илья</t>
  </si>
  <si>
    <t>Открытая (07.12.1982)/36</t>
  </si>
  <si>
    <t xml:space="preserve">Смоленков В. </t>
  </si>
  <si>
    <t>Луговой Богдан</t>
  </si>
  <si>
    <t>Мастера 40-49 (26.11.1975)/44</t>
  </si>
  <si>
    <t>Абдулкадиров Назир</t>
  </si>
  <si>
    <t>Мастера 40-49 (25.10.1976)/43</t>
  </si>
  <si>
    <t xml:space="preserve">Тимохин П. </t>
  </si>
  <si>
    <t>Ключников Виктор</t>
  </si>
  <si>
    <t>Латыпов Оскар</t>
  </si>
  <si>
    <t>Мастера 40-49 (24.07.1978)/41</t>
  </si>
  <si>
    <t>Моржиков Федор</t>
  </si>
  <si>
    <t>Мастера 40-49 (26.08.1979)/40</t>
  </si>
  <si>
    <t>Хорхордин Игорь</t>
  </si>
  <si>
    <t>Мастера 50-59 (15.06.1967)/52</t>
  </si>
  <si>
    <t>Сидоренко Петр</t>
  </si>
  <si>
    <t>Мастера 50-59 (12.07.1967)/52</t>
  </si>
  <si>
    <t>Сорокин Геннадий</t>
  </si>
  <si>
    <t>Мастера 60-69 (08.09.1959)/60</t>
  </si>
  <si>
    <t xml:space="preserve">RUS/Реутов </t>
  </si>
  <si>
    <t>Салов Андрей</t>
  </si>
  <si>
    <t>Мастера 60-69 (18.10.1959)/60</t>
  </si>
  <si>
    <t xml:space="preserve">RUS/Люберцы </t>
  </si>
  <si>
    <t>Макитрук Владимир</t>
  </si>
  <si>
    <t>Мастера 60-69 (04.12.1956)/63</t>
  </si>
  <si>
    <t xml:space="preserve"> RUS/Полярные Зори</t>
  </si>
  <si>
    <t>Сурков Вадим</t>
  </si>
  <si>
    <t>Юноши 17-19 (30.08.2001)/18</t>
  </si>
  <si>
    <t>Исмоилов Джовидон</t>
  </si>
  <si>
    <t>Юниоры (21.07.1998)/21</t>
  </si>
  <si>
    <t>TJK/Ванч</t>
  </si>
  <si>
    <t>Смирнов Юрий</t>
  </si>
  <si>
    <t>Юниоры (27.12.1995)/23</t>
  </si>
  <si>
    <t>94,10</t>
  </si>
  <si>
    <t>Воронин Сергей</t>
  </si>
  <si>
    <t>Юниоры (11.10.1996)/23</t>
  </si>
  <si>
    <t>Антонов Владислав</t>
  </si>
  <si>
    <t>Открытая (30.09.1991)/28</t>
  </si>
  <si>
    <t>Коновалов Сергей</t>
  </si>
  <si>
    <t>Открытая (23.05.1987)/32</t>
  </si>
  <si>
    <t>211,0</t>
  </si>
  <si>
    <t xml:space="preserve">Меркулов А. </t>
  </si>
  <si>
    <t>Нелаев Сергей</t>
  </si>
  <si>
    <t>Открытая (01.03.1982)/37</t>
  </si>
  <si>
    <t>Рассохин А.</t>
  </si>
  <si>
    <t>Открытая (21.07.1998)/21</t>
  </si>
  <si>
    <t xml:space="preserve"> TJK/Ванч</t>
  </si>
  <si>
    <t>Белов Антон</t>
  </si>
  <si>
    <t>Открытая (24.03.1985)/34</t>
  </si>
  <si>
    <t>Калягин Александр</t>
  </si>
  <si>
    <t>Открытая (12.06.1983)/36</t>
  </si>
  <si>
    <t>Эминов Шахин</t>
  </si>
  <si>
    <t>Открытая (21.01.1985)/34</t>
  </si>
  <si>
    <t>Петрыкин Владимир</t>
  </si>
  <si>
    <t>Открытая (25.09.1981)/38</t>
  </si>
  <si>
    <t xml:space="preserve">Морозов С. </t>
  </si>
  <si>
    <t>Открытая (08.03.1979)/40</t>
  </si>
  <si>
    <t>Трубин Сергей</t>
  </si>
  <si>
    <t>Открытая (16.04.1969)/50</t>
  </si>
  <si>
    <t>Евсеев Алексей</t>
  </si>
  <si>
    <t>Открытая (20.06.1983)/36</t>
  </si>
  <si>
    <t>95,00</t>
  </si>
  <si>
    <t>Коваленко Дмитрий</t>
  </si>
  <si>
    <t>Открытая (21.07.1989)/30</t>
  </si>
  <si>
    <t xml:space="preserve"> RUS/Якутск</t>
  </si>
  <si>
    <t>Волков Владислав</t>
  </si>
  <si>
    <t>Чернявский Иван</t>
  </si>
  <si>
    <t>Открытая (17.06.1991)/28</t>
  </si>
  <si>
    <t xml:space="preserve">Чернявский В. </t>
  </si>
  <si>
    <t>Солин Олег</t>
  </si>
  <si>
    <t>Открытая (07.11.1992)/27</t>
  </si>
  <si>
    <t xml:space="preserve">RUS/Арзамас </t>
  </si>
  <si>
    <t>Почечуй Дмитрий</t>
  </si>
  <si>
    <t>Открытая (24.10.1976)/43</t>
  </si>
  <si>
    <t xml:space="preserve">RUS/Лакинск </t>
  </si>
  <si>
    <t xml:space="preserve">Эрнандес О. </t>
  </si>
  <si>
    <t>21</t>
  </si>
  <si>
    <t>Колосов Анатолий</t>
  </si>
  <si>
    <t>Открытая (26.03.1993)/26</t>
  </si>
  <si>
    <t xml:space="preserve">RUS/Никольск </t>
  </si>
  <si>
    <t>22</t>
  </si>
  <si>
    <t>Максимцев Виталий</t>
  </si>
  <si>
    <t>Открытая (13.01.1988)/31</t>
  </si>
  <si>
    <t>23</t>
  </si>
  <si>
    <t>Анашкин Олег</t>
  </si>
  <si>
    <t>Открытая (11.05.1987)/32</t>
  </si>
  <si>
    <t xml:space="preserve"> RUS/Химки</t>
  </si>
  <si>
    <t>24</t>
  </si>
  <si>
    <t>Пискур Дмитрий</t>
  </si>
  <si>
    <t>Открытая (05.09.1980)/39</t>
  </si>
  <si>
    <t xml:space="preserve">RUS/Великие Луки </t>
  </si>
  <si>
    <t>25</t>
  </si>
  <si>
    <t>Субботин Евгений</t>
  </si>
  <si>
    <t>Открытая (05.02.1992)/27</t>
  </si>
  <si>
    <t>26</t>
  </si>
  <si>
    <t>Даниелян Максим</t>
  </si>
  <si>
    <t>Открытая (25.01.1995)/24</t>
  </si>
  <si>
    <t>27</t>
  </si>
  <si>
    <t>Одабашян Рубен</t>
  </si>
  <si>
    <t>Открытая (27.08.1986)/33</t>
  </si>
  <si>
    <t xml:space="preserve">RUS/Сочи </t>
  </si>
  <si>
    <t>Вахнов Дмитрий</t>
  </si>
  <si>
    <t>Открытая (21.06.1987)/32</t>
  </si>
  <si>
    <t>97,10</t>
  </si>
  <si>
    <t>Швецов Сергей</t>
  </si>
  <si>
    <t>Открытая (02.03.1987)/32</t>
  </si>
  <si>
    <t>Малин Валентин</t>
  </si>
  <si>
    <t>Открытая (08.09.1986)/33</t>
  </si>
  <si>
    <t>Тарасов Сергей</t>
  </si>
  <si>
    <t>Мастера 40-49 (02.10.1976)/43</t>
  </si>
  <si>
    <t xml:space="preserve">RUS/Ишим </t>
  </si>
  <si>
    <t>Бородин А.</t>
  </si>
  <si>
    <t>Григорьев Андрей</t>
  </si>
  <si>
    <t>Мастера 40-49 (05.03.1975)/44</t>
  </si>
  <si>
    <t>201,0</t>
  </si>
  <si>
    <t xml:space="preserve">Григорьева Т. </t>
  </si>
  <si>
    <t>Плотников Герман</t>
  </si>
  <si>
    <t>Мастера 40-49 (08.06.1976)/43</t>
  </si>
  <si>
    <t xml:space="preserve">RUS/Сызрань </t>
  </si>
  <si>
    <t>Качанов Клим</t>
  </si>
  <si>
    <t>Мастера 40-49 (19.06.1973)/46</t>
  </si>
  <si>
    <t xml:space="preserve">RUS/Архангельск </t>
  </si>
  <si>
    <t>Шуралев Александр</t>
  </si>
  <si>
    <t>Мастера 40-49 (13.07.1975)/44</t>
  </si>
  <si>
    <t>96,20</t>
  </si>
  <si>
    <t>Шабалин Александр</t>
  </si>
  <si>
    <t>Мастера 40-49 (07.09.1971)/48</t>
  </si>
  <si>
    <t>98,60</t>
  </si>
  <si>
    <t>Потапов Михаил</t>
  </si>
  <si>
    <t>Мастера 40-49 (16.12.1973)/45</t>
  </si>
  <si>
    <t xml:space="preserve">RUS/Кольчугино </t>
  </si>
  <si>
    <t xml:space="preserve">Джуромский А. </t>
  </si>
  <si>
    <t>Михайлов Геннадий</t>
  </si>
  <si>
    <t>Мастера 40-49 (15.02.1978)/41</t>
  </si>
  <si>
    <t xml:space="preserve">Свентицкий С. </t>
  </si>
  <si>
    <t>Мастера 50-59 (16.04.1969)/50</t>
  </si>
  <si>
    <t>Страхалис Сергей</t>
  </si>
  <si>
    <t>Мастера 50-59 (10.03.1963)/56</t>
  </si>
  <si>
    <t xml:space="preserve">Варава И. </t>
  </si>
  <si>
    <t>Акентьев Валерий</t>
  </si>
  <si>
    <t>Мастера 60-69 (13.03.1958)/61</t>
  </si>
  <si>
    <t>Силуянов Александр</t>
  </si>
  <si>
    <t>Мастера 60-69 (23.06.1954)/65</t>
  </si>
  <si>
    <t>90,40</t>
  </si>
  <si>
    <t>Смирнов Леонид</t>
  </si>
  <si>
    <t>Мастера 60-69 (26.09.1957)/62</t>
  </si>
  <si>
    <t>91,10</t>
  </si>
  <si>
    <t>Васильев Валерий</t>
  </si>
  <si>
    <t>Мастера 70-79 (19.09.1947)/72</t>
  </si>
  <si>
    <t>Кургинян Давид</t>
  </si>
  <si>
    <t>Юниоры (01.04.1996)/23</t>
  </si>
  <si>
    <t>104,50</t>
  </si>
  <si>
    <t>Шатунов Олег</t>
  </si>
  <si>
    <t>Жаченков Александр</t>
  </si>
  <si>
    <t>Открытая (30.07.1981)/38</t>
  </si>
  <si>
    <t xml:space="preserve">RUS/Протвино </t>
  </si>
  <si>
    <t>Мордвинов Сергей</t>
  </si>
  <si>
    <t>Открытая (26.08.1982)/37</t>
  </si>
  <si>
    <t xml:space="preserve">RUS/Щигры </t>
  </si>
  <si>
    <t xml:space="preserve">Милостной С. </t>
  </si>
  <si>
    <t>Ким Константин</t>
  </si>
  <si>
    <t>Открытая (28.03.1987)/32</t>
  </si>
  <si>
    <t>Бахмудов Магомедэмин</t>
  </si>
  <si>
    <t>Открытая (17.02.1989)/30</t>
  </si>
  <si>
    <t>Коблик Дмитрий</t>
  </si>
  <si>
    <t>Открытая (20.08.1993)/26</t>
  </si>
  <si>
    <t xml:space="preserve">Коваленко А. </t>
  </si>
  <si>
    <t>Зайкин Андрей</t>
  </si>
  <si>
    <t>Открытая (21.01.1984)/35</t>
  </si>
  <si>
    <t>109,80</t>
  </si>
  <si>
    <t>Ругинов Олег</t>
  </si>
  <si>
    <t>Открытая (27.08.1981)/38</t>
  </si>
  <si>
    <t>103,80</t>
  </si>
  <si>
    <t>Карлюков К.</t>
  </si>
  <si>
    <t>Антонов Леонид</t>
  </si>
  <si>
    <t>Открытая (01.12.1987)/32</t>
  </si>
  <si>
    <t xml:space="preserve"> RUS/Санкт-Петербург </t>
  </si>
  <si>
    <t>Зайцев Артем</t>
  </si>
  <si>
    <t xml:space="preserve">RUS/Чита </t>
  </si>
  <si>
    <t>Шереметьев Максим</t>
  </si>
  <si>
    <t>Открытая (19.11.1994)/25</t>
  </si>
  <si>
    <t>108,80</t>
  </si>
  <si>
    <t>Катасонов Дмитрий</t>
  </si>
  <si>
    <t>Открытая (31.10.1980)/39</t>
  </si>
  <si>
    <t>Юн Сергей</t>
  </si>
  <si>
    <t>Открытая (07.09.1993)/26</t>
  </si>
  <si>
    <t xml:space="preserve"> RUS/Воронеж</t>
  </si>
  <si>
    <t>Козлов Виталий</t>
  </si>
  <si>
    <t>Открытая (09.11.1987)/32</t>
  </si>
  <si>
    <t>Антонов Л.</t>
  </si>
  <si>
    <t>Сироткин Александр</t>
  </si>
  <si>
    <t>Открытая (25.10.1986)/33</t>
  </si>
  <si>
    <t>102,40</t>
  </si>
  <si>
    <t>Тимотин Александр</t>
  </si>
  <si>
    <t>Открытая (05.07.1987)/32</t>
  </si>
  <si>
    <t>106,90</t>
  </si>
  <si>
    <t>DQ</t>
  </si>
  <si>
    <t>Прокопенко Иван</t>
  </si>
  <si>
    <t>Открытая (25.08.1983)/36</t>
  </si>
  <si>
    <t xml:space="preserve">RUS/Лиски </t>
  </si>
  <si>
    <t>Костин Игорь</t>
  </si>
  <si>
    <t>Открытая (24.06.1991)/28</t>
  </si>
  <si>
    <t>Костин Виталий</t>
  </si>
  <si>
    <t>Открытая (11.08.1989)/30</t>
  </si>
  <si>
    <t>107,00</t>
  </si>
  <si>
    <t>Петин Вадим</t>
  </si>
  <si>
    <t>Открытая (28.12.1985)/33</t>
  </si>
  <si>
    <t xml:space="preserve">RUS/Кирсанов </t>
  </si>
  <si>
    <t xml:space="preserve">Черный В. </t>
  </si>
  <si>
    <t>Мурашко Руслан</t>
  </si>
  <si>
    <t>Мастера 40-49 (22.08.1974)/45</t>
  </si>
  <si>
    <t>108,20</t>
  </si>
  <si>
    <t xml:space="preserve">BLR/Полоцк </t>
  </si>
  <si>
    <t>Уткин Алексей</t>
  </si>
  <si>
    <t>Мастера 40-49 (29.08.1979)/40</t>
  </si>
  <si>
    <t>103,10</t>
  </si>
  <si>
    <t>Шамов Сергей</t>
  </si>
  <si>
    <t>Мастера 40-49 (21.08.1973)/46</t>
  </si>
  <si>
    <t>100,10</t>
  </si>
  <si>
    <t xml:space="preserve">RUS/Великий Устюг </t>
  </si>
  <si>
    <t xml:space="preserve">Рассохин А. </t>
  </si>
  <si>
    <t>Шмаков Максим</t>
  </si>
  <si>
    <t>Мастера 40-49 (01.07.1979)/40</t>
  </si>
  <si>
    <t>101,10</t>
  </si>
  <si>
    <t>Карчевский Аркадий</t>
  </si>
  <si>
    <t>Мастера 40-49 (28.04.1975)/44</t>
  </si>
  <si>
    <t>Романов Ю.</t>
  </si>
  <si>
    <t>Бабин Евгений</t>
  </si>
  <si>
    <t>Мастера 40-49 (17.04.1971)/48</t>
  </si>
  <si>
    <t>Петров С.</t>
  </si>
  <si>
    <t>Киреев Дмитрий</t>
  </si>
  <si>
    <t>Мастера 50-59 (25.08.1969)/50</t>
  </si>
  <si>
    <t>Kovalskiy Vladimir</t>
  </si>
  <si>
    <t>Мастера 60-69 (21.01.1958)/61</t>
  </si>
  <si>
    <t>106,20</t>
  </si>
  <si>
    <t>Гордяков Юрий</t>
  </si>
  <si>
    <t>Открытая (27.04.1976)/43</t>
  </si>
  <si>
    <t>Вячеслав Устюгов</t>
  </si>
  <si>
    <t>Открытая (05.08.1973)/46</t>
  </si>
  <si>
    <t>121,80</t>
  </si>
  <si>
    <t>Зиновагин Дмитрий</t>
  </si>
  <si>
    <t>Открытая (10.08.1986)/33</t>
  </si>
  <si>
    <t>118,10</t>
  </si>
  <si>
    <t>Варников Артём</t>
  </si>
  <si>
    <t>Открытая (02.06.1993)/26</t>
  </si>
  <si>
    <t>112,90</t>
  </si>
  <si>
    <t xml:space="preserve">RUS/Орёл </t>
  </si>
  <si>
    <t>Ушаков С.</t>
  </si>
  <si>
    <t>Мироненко Алексей</t>
  </si>
  <si>
    <t>Открытая (07.04.1986)/33</t>
  </si>
  <si>
    <t>115,90</t>
  </si>
  <si>
    <t xml:space="preserve">Ташбулатов М. </t>
  </si>
  <si>
    <t>Мастера 40-49 (27.04.1976)/43</t>
  </si>
  <si>
    <t>Бауэр Николай</t>
  </si>
  <si>
    <t>Мастера 40-49 (17.04.1978)/41</t>
  </si>
  <si>
    <t>115,20</t>
  </si>
  <si>
    <t>215,5</t>
  </si>
  <si>
    <t>Мастера 40-49 (05.08.1973)/46</t>
  </si>
  <si>
    <t>Усольцев Евгений</t>
  </si>
  <si>
    <t>Мастера 40-49 (01.02.1970)/49</t>
  </si>
  <si>
    <t>122,70</t>
  </si>
  <si>
    <t xml:space="preserve">Пахомов С. </t>
  </si>
  <si>
    <t>Орехов Валентин</t>
  </si>
  <si>
    <t>Мастера 40-49 (10.01.1977)/42</t>
  </si>
  <si>
    <t xml:space="preserve">Музалевский А. </t>
  </si>
  <si>
    <t>Батыров Вячеслав</t>
  </si>
  <si>
    <t>Мастера 40-49 (08.02.1975)/44</t>
  </si>
  <si>
    <t>122,50</t>
  </si>
  <si>
    <t>Урусов Дмитрий</t>
  </si>
  <si>
    <t>Мастера 40-49 (04.06.1974)/45</t>
  </si>
  <si>
    <t>112,70</t>
  </si>
  <si>
    <t xml:space="preserve">RUS/Салават </t>
  </si>
  <si>
    <t>Богданов Игорь</t>
  </si>
  <si>
    <t>Мастера 40-49 (11.02.1972)/47</t>
  </si>
  <si>
    <t>124,90</t>
  </si>
  <si>
    <t>Чубаров Владимир</t>
  </si>
  <si>
    <t>Мастера 50-59 (03.04.1964)/55</t>
  </si>
  <si>
    <t>123,40</t>
  </si>
  <si>
    <t>Шуров Антон</t>
  </si>
  <si>
    <t>Юноши 17-19 (01.06.2000)/19</t>
  </si>
  <si>
    <t>131,40</t>
  </si>
  <si>
    <t>181,0</t>
  </si>
  <si>
    <t>Резайкин Дмитрий</t>
  </si>
  <si>
    <t>Открытая (12.02.1984)/35</t>
  </si>
  <si>
    <t>129,60</t>
  </si>
  <si>
    <t>Миляев Дмитрий</t>
  </si>
  <si>
    <t>Открытая (11.06.1993)/26</t>
  </si>
  <si>
    <t>Щегрин Николай</t>
  </si>
  <si>
    <t>134,50</t>
  </si>
  <si>
    <t xml:space="preserve">Дмитриев Е. </t>
  </si>
  <si>
    <t>Шаульский Виталий</t>
  </si>
  <si>
    <t>Мастера 40-49 (02.06.1973)/46</t>
  </si>
  <si>
    <t>132,10</t>
  </si>
  <si>
    <t xml:space="preserve">RUS/Азов </t>
  </si>
  <si>
    <t>208,0</t>
  </si>
  <si>
    <t>Миронов Сергей</t>
  </si>
  <si>
    <t>Мастера 40-49 (09.07.1973)/46</t>
  </si>
  <si>
    <t>128,50</t>
  </si>
  <si>
    <t xml:space="preserve">Закружной В. </t>
  </si>
  <si>
    <t>Филин Михаил</t>
  </si>
  <si>
    <t>Мастера 50-59 (17.11.1961)/58</t>
  </si>
  <si>
    <t>137,30</t>
  </si>
  <si>
    <t>Трофимов Борис</t>
  </si>
  <si>
    <t>Открытая (21.03.1972)/47</t>
  </si>
  <si>
    <t>156,80</t>
  </si>
  <si>
    <t xml:space="preserve">RUS/Гуково </t>
  </si>
  <si>
    <t xml:space="preserve">Соловьев В. </t>
  </si>
  <si>
    <t>Конев Сергей</t>
  </si>
  <si>
    <t>Открытая (18.01.1989)/30</t>
  </si>
  <si>
    <t>142,00</t>
  </si>
  <si>
    <t xml:space="preserve">Машистов В. </t>
  </si>
  <si>
    <t>Лукин Виталий</t>
  </si>
  <si>
    <t>Открытая (26.03.1987)/32</t>
  </si>
  <si>
    <t>148,30</t>
  </si>
  <si>
    <t xml:space="preserve">Валеев К. </t>
  </si>
  <si>
    <t>Мастера 40-49 (21.03.1972)/47</t>
  </si>
  <si>
    <t xml:space="preserve">Девушки </t>
  </si>
  <si>
    <t>100,0320</t>
  </si>
  <si>
    <t xml:space="preserve">Юноши 14-16 </t>
  </si>
  <si>
    <t>79,4640</t>
  </si>
  <si>
    <t>76,6245</t>
  </si>
  <si>
    <t>111,4900</t>
  </si>
  <si>
    <t>101,9235</t>
  </si>
  <si>
    <t>101,4220</t>
  </si>
  <si>
    <t>127,4044</t>
  </si>
  <si>
    <t>101,3011</t>
  </si>
  <si>
    <t>95,7781</t>
  </si>
  <si>
    <t>107,4850</t>
  </si>
  <si>
    <t>103,8345</t>
  </si>
  <si>
    <t>101,2000</t>
  </si>
  <si>
    <t>125,3960</t>
  </si>
  <si>
    <t>121,8970</t>
  </si>
  <si>
    <t>121,1863</t>
  </si>
  <si>
    <t>134,7028</t>
  </si>
  <si>
    <t>133,0650</t>
  </si>
  <si>
    <t>130,5775</t>
  </si>
  <si>
    <t>157,3414</t>
  </si>
  <si>
    <t>155,7500</t>
  </si>
  <si>
    <t>154,2406</t>
  </si>
  <si>
    <t>V Чемпионат мира WRPF
WRPF любители Жим лежа без экипировки
Москва, 4 - 8 декабря 2019 года</t>
  </si>
  <si>
    <t>Башмакова Елена</t>
  </si>
  <si>
    <t>Открытая (17.07.1981)/38</t>
  </si>
  <si>
    <t>43,70</t>
  </si>
  <si>
    <t xml:space="preserve">Люшуков А. </t>
  </si>
  <si>
    <t>Бизяева Ирина</t>
  </si>
  <si>
    <t>Юниорки (17.06.1996)/23</t>
  </si>
  <si>
    <t>54,70</t>
  </si>
  <si>
    <t xml:space="preserve">Леликов П. </t>
  </si>
  <si>
    <t>Малиновская Юлия</t>
  </si>
  <si>
    <t>Открытая (02.12.1984)/35</t>
  </si>
  <si>
    <t xml:space="preserve">Козырь И., Соловьев А. </t>
  </si>
  <si>
    <t>Трошина Яна</t>
  </si>
  <si>
    <t>Открытая (05.07.1985)/34</t>
  </si>
  <si>
    <t>Лазуренко Ольга</t>
  </si>
  <si>
    <t>Открытая (05.09.1971)/48</t>
  </si>
  <si>
    <t>64,30</t>
  </si>
  <si>
    <t>Власова Надежда</t>
  </si>
  <si>
    <t>Открытая (24.01.1982)/37</t>
  </si>
  <si>
    <t>Лялякичева Татьяна</t>
  </si>
  <si>
    <t>Мастера 40-49 (21.03.1978)/41</t>
  </si>
  <si>
    <t>67,70</t>
  </si>
  <si>
    <t xml:space="preserve"> RUS/Серпухов</t>
  </si>
  <si>
    <t>Легенькова Маргарита</t>
  </si>
  <si>
    <t>Открытая (21.05.1988)/31</t>
  </si>
  <si>
    <t>Кодзаева Яна</t>
  </si>
  <si>
    <t>Открытая (20.06.1993)/26</t>
  </si>
  <si>
    <t>86,40</t>
  </si>
  <si>
    <t xml:space="preserve">Доброрезов И. </t>
  </si>
  <si>
    <t>Мухин Всеволод</t>
  </si>
  <si>
    <t>Юноши 14-16 (28.01.2009)/10</t>
  </si>
  <si>
    <t>44,90</t>
  </si>
  <si>
    <t>30,0</t>
  </si>
  <si>
    <t>Izadi Yazdanabadi</t>
  </si>
  <si>
    <t>Юноши 17-19 (24.10.2001)/18</t>
  </si>
  <si>
    <t>Karavani Ahmad</t>
  </si>
  <si>
    <t>Открытая (23.03.1992)/27</t>
  </si>
  <si>
    <t>Matgorzata Hatas-Koralewska</t>
  </si>
  <si>
    <t>Открытая (10.06.1987)/32</t>
  </si>
  <si>
    <t xml:space="preserve">POL/Strzelin </t>
  </si>
  <si>
    <t xml:space="preserve">Коралевский М. </t>
  </si>
  <si>
    <t>Аристидов Юрий</t>
  </si>
  <si>
    <t>Мастера 80+ (16.07.1936)/83</t>
  </si>
  <si>
    <t xml:space="preserve"> ISR/Khadera</t>
  </si>
  <si>
    <t>Виноградов Олег</t>
  </si>
  <si>
    <t>Юноши 17-19 (06.09.2001)/18</t>
  </si>
  <si>
    <t>64,20</t>
  </si>
  <si>
    <t>Самигуллин Хасанкожа</t>
  </si>
  <si>
    <t>Открытая (20.10.1992)/27</t>
  </si>
  <si>
    <t xml:space="preserve">KAZ/Астана </t>
  </si>
  <si>
    <t>Ткачев Виктор</t>
  </si>
  <si>
    <t>Мастера 70-79 (15.11.1944)/75</t>
  </si>
  <si>
    <t>Хачатрян Роберт</t>
  </si>
  <si>
    <t>Юноши 17-19 (02.02.2000)/19</t>
  </si>
  <si>
    <t xml:space="preserve">RUS/Муром </t>
  </si>
  <si>
    <t>Терновской Андрей</t>
  </si>
  <si>
    <t>Юниоры (15.04.1996)/23</t>
  </si>
  <si>
    <t xml:space="preserve">Абрамченко М. </t>
  </si>
  <si>
    <t>Сычёв Сергей</t>
  </si>
  <si>
    <t>Открытая (18.07.1978)/41</t>
  </si>
  <si>
    <t>Куимов Денис</t>
  </si>
  <si>
    <t xml:space="preserve">RUS/Крымск </t>
  </si>
  <si>
    <t xml:space="preserve">Мехтиев Р. </t>
  </si>
  <si>
    <t>Богданов Максим</t>
  </si>
  <si>
    <t>Открытая (12.10.1992)/27</t>
  </si>
  <si>
    <t xml:space="preserve">RUS/Волгодонск </t>
  </si>
  <si>
    <t xml:space="preserve">Сарычев К. </t>
  </si>
  <si>
    <t>Zeynal Ali</t>
  </si>
  <si>
    <t xml:space="preserve">Khudaverdiev R. </t>
  </si>
  <si>
    <t>Антропов Александр</t>
  </si>
  <si>
    <t>Открытая (14.03.1969)/50</t>
  </si>
  <si>
    <t>RUS/Всеволожск</t>
  </si>
  <si>
    <t xml:space="preserve">Фомичев К. </t>
  </si>
  <si>
    <t>Открытая (15.04.1996)/23</t>
  </si>
  <si>
    <t>Лазу Тимофей</t>
  </si>
  <si>
    <t>Открытая (13.01.1982)/37</t>
  </si>
  <si>
    <t xml:space="preserve">Орёл Д. </t>
  </si>
  <si>
    <t>Давыдов Денис</t>
  </si>
  <si>
    <t>Открытая (24.08.1983)/36</t>
  </si>
  <si>
    <t xml:space="preserve">RUS/Орск </t>
  </si>
  <si>
    <t>Максимов Р.</t>
  </si>
  <si>
    <t>Володеев Виктор</t>
  </si>
  <si>
    <t>Открытая (27.05.1993)/26</t>
  </si>
  <si>
    <t>Мастера 40-49 (18.07.1978)/41</t>
  </si>
  <si>
    <t>Матвеев Александр</t>
  </si>
  <si>
    <t>Мастера 40-49 (14.03.1974)/45</t>
  </si>
  <si>
    <t xml:space="preserve">Жинкин В. </t>
  </si>
  <si>
    <t>Мастера 50-59 (14.03.1969)/50</t>
  </si>
  <si>
    <t xml:space="preserve"> RUS/Всеволожск</t>
  </si>
  <si>
    <t>Савватеев Виталий</t>
  </si>
  <si>
    <t>Мастера 50-59 (06.05.1967)/52</t>
  </si>
  <si>
    <t xml:space="preserve">RUS/Киреевск </t>
  </si>
  <si>
    <t>Laishin Boris</t>
  </si>
  <si>
    <t>Мастера 60-69 (06.08.1950)/69</t>
  </si>
  <si>
    <t>68,00</t>
  </si>
  <si>
    <t xml:space="preserve"> IRN/Tehran</t>
  </si>
  <si>
    <t>Rodriguez Correa</t>
  </si>
  <si>
    <t>Юниоры (18.09.1997)/22</t>
  </si>
  <si>
    <t xml:space="preserve">COL/Pereira </t>
  </si>
  <si>
    <t xml:space="preserve">Saul S. </t>
  </si>
  <si>
    <t>Горшков Дмитрий</t>
  </si>
  <si>
    <t>81,50</t>
  </si>
  <si>
    <t>Аникушин Роман</t>
  </si>
  <si>
    <t xml:space="preserve">RUS/Бахчисарай </t>
  </si>
  <si>
    <t>Аскеров Али</t>
  </si>
  <si>
    <t>Открытая (09.02.1985)/34</t>
  </si>
  <si>
    <t xml:space="preserve">Байрамов Ш. </t>
  </si>
  <si>
    <t>Гаголин Александр</t>
  </si>
  <si>
    <t>Открытая (01.07.1987)/32</t>
  </si>
  <si>
    <t>Горшков Антон</t>
  </si>
  <si>
    <t>Открытая (25.02.1988)/31</t>
  </si>
  <si>
    <t>Кононович Дмитрий</t>
  </si>
  <si>
    <t>Открытая (23.05.1980)/39</t>
  </si>
  <si>
    <t>Устюгов В.</t>
  </si>
  <si>
    <t>Аскеров Шамиль</t>
  </si>
  <si>
    <t>Открытая (01.04.1989)/30</t>
  </si>
  <si>
    <t>Хадзиев Ваха</t>
  </si>
  <si>
    <t>Открытая (26.09.1994)/25</t>
  </si>
  <si>
    <t xml:space="preserve">RUS/Троицкая </t>
  </si>
  <si>
    <t xml:space="preserve">Котика Х. </t>
  </si>
  <si>
    <t>Безбожный Денис</t>
  </si>
  <si>
    <t>Открытая (16.09.1990)/29</t>
  </si>
  <si>
    <t>Новокшонов Николай</t>
  </si>
  <si>
    <t>Мастера 40-49 (05.11.1973)/46</t>
  </si>
  <si>
    <t xml:space="preserve"> RUS/Киров</t>
  </si>
  <si>
    <t xml:space="preserve">Дроздов А. </t>
  </si>
  <si>
    <t>Grigorjevs Pavels</t>
  </si>
  <si>
    <t>Мастера 40-49 (28.07.1974)/45</t>
  </si>
  <si>
    <t>80,10</t>
  </si>
  <si>
    <t>Голянов Олег</t>
  </si>
  <si>
    <t>Мастера 40-49 (13.03.1974)/45</t>
  </si>
  <si>
    <t xml:space="preserve">Сайденсаль О. </t>
  </si>
  <si>
    <t>Плюснин Олег</t>
  </si>
  <si>
    <t>Мастера 50-59 (22.03.1963)/56</t>
  </si>
  <si>
    <t xml:space="preserve">RUS/Сыктывкар </t>
  </si>
  <si>
    <t xml:space="preserve">Васев А. </t>
  </si>
  <si>
    <t>Бахтеев Дмитрий</t>
  </si>
  <si>
    <t>Мастера 50-59 (25.08.1966)/53</t>
  </si>
  <si>
    <t xml:space="preserve">ISR/Haifa </t>
  </si>
  <si>
    <t xml:space="preserve">Иванюков О. </t>
  </si>
  <si>
    <t>Ковалев Анатолий</t>
  </si>
  <si>
    <t>Мастера 80+ (11.08.1936)/83</t>
  </si>
  <si>
    <t>Переезчиков Вячеслав</t>
  </si>
  <si>
    <t>Юноши 17-19 (06.12.2000)/19</t>
  </si>
  <si>
    <t xml:space="preserve">RUS/Калуга </t>
  </si>
  <si>
    <t>Симанчук Антон</t>
  </si>
  <si>
    <t>Юниоры (20.09.1999)/20</t>
  </si>
  <si>
    <t xml:space="preserve">RUS/Щербинка </t>
  </si>
  <si>
    <t xml:space="preserve">Ковригин А. </t>
  </si>
  <si>
    <t>Коротченко Евгений</t>
  </si>
  <si>
    <t>Юниоры (03.04.1996)/23</t>
  </si>
  <si>
    <t>Пыткин Максим</t>
  </si>
  <si>
    <t>Открытая (30.03.1992)/27</t>
  </si>
  <si>
    <t>87,00</t>
  </si>
  <si>
    <t xml:space="preserve">Колохин П. </t>
  </si>
  <si>
    <t>Мингазов Александр</t>
  </si>
  <si>
    <t>Открытая (06.04.1989)/30</t>
  </si>
  <si>
    <t>Тюнин Никита</t>
  </si>
  <si>
    <t>Открытая (26.11.1990)/29</t>
  </si>
  <si>
    <t xml:space="preserve">RUS/Семилуки </t>
  </si>
  <si>
    <t>Ульрих Павел</t>
  </si>
  <si>
    <t>Мельников Станислав</t>
  </si>
  <si>
    <t>Открытая (27.07.1986)/33</t>
  </si>
  <si>
    <t>88,00</t>
  </si>
  <si>
    <t xml:space="preserve">Симанчук А. </t>
  </si>
  <si>
    <t>Яценко Максим</t>
  </si>
  <si>
    <t>Открытая (14.07.1993)/26</t>
  </si>
  <si>
    <t xml:space="preserve">Фотин А. </t>
  </si>
  <si>
    <t>Лукьянцев Игорь</t>
  </si>
  <si>
    <t>Открытая (14.07.1986)/33</t>
  </si>
  <si>
    <t>Яневич Дмитрий</t>
  </si>
  <si>
    <t>Мастера 40-49 (25.03.1974)/45</t>
  </si>
  <si>
    <t>Слабун Алексей</t>
  </si>
  <si>
    <t>Мастера 40-49 (04.11.1976)/43</t>
  </si>
  <si>
    <t xml:space="preserve">RUS/Красный Холм </t>
  </si>
  <si>
    <t>Базанов Сергей</t>
  </si>
  <si>
    <t>Мастера 50-59 (22.06.1962)/57</t>
  </si>
  <si>
    <t>Ахмедов Асаф</t>
  </si>
  <si>
    <t>Мастера 50-59 (23.07.1965)/54</t>
  </si>
  <si>
    <t>84,90</t>
  </si>
  <si>
    <t xml:space="preserve">RUS/Палласовка </t>
  </si>
  <si>
    <t>Максютов Флорит</t>
  </si>
  <si>
    <t>Мастера 60-69 (12.08.1955)/64</t>
  </si>
  <si>
    <t>Козлов Владимир</t>
  </si>
  <si>
    <t>Мастера 60-69 (15.06.1954)/65</t>
  </si>
  <si>
    <t xml:space="preserve">Папушой В. </t>
  </si>
  <si>
    <t>Паньков Роман</t>
  </si>
  <si>
    <t>Юноши 17-19 (20.10.2000)/19</t>
  </si>
  <si>
    <t xml:space="preserve">RUS/Усинск </t>
  </si>
  <si>
    <t>Новиков Илья</t>
  </si>
  <si>
    <t>Юниоры (10.03.1999)/20</t>
  </si>
  <si>
    <t>92,70</t>
  </si>
  <si>
    <t>Lewin Eick</t>
  </si>
  <si>
    <t>Юниоры (14.08.1998)/21</t>
  </si>
  <si>
    <t xml:space="preserve">DEU/Anger </t>
  </si>
  <si>
    <t>Raidel C.</t>
  </si>
  <si>
    <t>Ревяко Александр</t>
  </si>
  <si>
    <t>Открытая (16.07.1985)/34</t>
  </si>
  <si>
    <t>250,5</t>
  </si>
  <si>
    <t xml:space="preserve">Никитенко А. </t>
  </si>
  <si>
    <t>Бочаев Асхаб</t>
  </si>
  <si>
    <t>Открытая (04.11.1992)/27</t>
  </si>
  <si>
    <t xml:space="preserve">RUS/Урус-Мартан </t>
  </si>
  <si>
    <t>251,0</t>
  </si>
  <si>
    <t>Полунин Дмитрий</t>
  </si>
  <si>
    <t>Открытая (12.10.1991)/28</t>
  </si>
  <si>
    <t>Петросов Михаил</t>
  </si>
  <si>
    <t>Открытая (23.12.1986)/32</t>
  </si>
  <si>
    <t xml:space="preserve">Онуфриенко Д. </t>
  </si>
  <si>
    <t>Евтеев Алексей</t>
  </si>
  <si>
    <t>Открытая (08.08.1994)/25</t>
  </si>
  <si>
    <t xml:space="preserve">Сайденцаль О. </t>
  </si>
  <si>
    <t>Баруков Игорь</t>
  </si>
  <si>
    <t>Открытая (25.04.1985)/34</t>
  </si>
  <si>
    <t>Кулиш А.</t>
  </si>
  <si>
    <t>Солнцев Иван</t>
  </si>
  <si>
    <t>Открытая (25.03.1974)/45</t>
  </si>
  <si>
    <t xml:space="preserve">RUS/Выборг </t>
  </si>
  <si>
    <t>Lu Lei</t>
  </si>
  <si>
    <t>Открытая (06.08.1983)/36</t>
  </si>
  <si>
    <t>Пантюшин Константин</t>
  </si>
  <si>
    <t>Открытая (15.05.1989)/30</t>
  </si>
  <si>
    <t>Каширский Олег</t>
  </si>
  <si>
    <t>Открытая (24.11.1987)/32</t>
  </si>
  <si>
    <t>93,60</t>
  </si>
  <si>
    <t>Ганнусенко Юрий</t>
  </si>
  <si>
    <t>Кузнецов Владимир</t>
  </si>
  <si>
    <t>Открытая (23.06.1993)/26</t>
  </si>
  <si>
    <t>Олефир Александр</t>
  </si>
  <si>
    <t>Открытая (06.07.1981)/38</t>
  </si>
  <si>
    <t xml:space="preserve">Долгов С. </t>
  </si>
  <si>
    <t>Медведь Алексей</t>
  </si>
  <si>
    <t>Гаранин Виктор</t>
  </si>
  <si>
    <t xml:space="preserve">RUS/Абакан </t>
  </si>
  <si>
    <t>Кармишин Андрей</t>
  </si>
  <si>
    <t>Открытая (13.03.1984)/35</t>
  </si>
  <si>
    <t>Егоров Светослав</t>
  </si>
  <si>
    <t>Открытая (26.02.1992)/27</t>
  </si>
  <si>
    <t>Токшаров Айса</t>
  </si>
  <si>
    <t>Открытая (08.08.1980)/39</t>
  </si>
  <si>
    <t>97,7760</t>
  </si>
  <si>
    <t>Пронин Артём</t>
  </si>
  <si>
    <t>Открытая (06.06.1988)/31</t>
  </si>
  <si>
    <t>Патренков Руслан</t>
  </si>
  <si>
    <t>Открытая (07.07.1990)/29</t>
  </si>
  <si>
    <t>Aghayev Bahlul</t>
  </si>
  <si>
    <t>Открытая (09.04.1986)/33</t>
  </si>
  <si>
    <t>Наумов Антон</t>
  </si>
  <si>
    <t>Открытая (20.06.1995)/24</t>
  </si>
  <si>
    <t>Агафонов Виталий</t>
  </si>
  <si>
    <t>Мастера 40-49 (23.10.1976)/43</t>
  </si>
  <si>
    <t>99,10</t>
  </si>
  <si>
    <t>Кречин Геннадий</t>
  </si>
  <si>
    <t>Мастера 40-49 (11.03.1974)/45</t>
  </si>
  <si>
    <t>Екушенко Виктор</t>
  </si>
  <si>
    <t>Мастера 40-49 (17.03.1977)/42</t>
  </si>
  <si>
    <t>92,90</t>
  </si>
  <si>
    <t>Веремянин Юрий</t>
  </si>
  <si>
    <t>Мастера 40-49 (03.09.1978)/41</t>
  </si>
  <si>
    <t xml:space="preserve">Белов В. </t>
  </si>
  <si>
    <t>Константович Сергей</t>
  </si>
  <si>
    <t>Мастера 40-49 (07.10.1978)/41</t>
  </si>
  <si>
    <t>94,60</t>
  </si>
  <si>
    <t>BLR/Островец</t>
  </si>
  <si>
    <t xml:space="preserve">Макей А. </t>
  </si>
  <si>
    <t>Глухов Андрей</t>
  </si>
  <si>
    <t>Мастера 40-49 (02.04.1978)/41</t>
  </si>
  <si>
    <t>Елин Виктор</t>
  </si>
  <si>
    <t>Мастера 40-49 (22.08.1979)/40</t>
  </si>
  <si>
    <t xml:space="preserve">RUS/Аткарск </t>
  </si>
  <si>
    <t>Чернявский Виталий</t>
  </si>
  <si>
    <t>Мастера 40-49 (10.10.1972)/47</t>
  </si>
  <si>
    <t>Алиев Натиг</t>
  </si>
  <si>
    <t>Мастера 50-59 (07.02.1964)/55</t>
  </si>
  <si>
    <t>95,30</t>
  </si>
  <si>
    <t xml:space="preserve">Наумлюк С. </t>
  </si>
  <si>
    <t>Александров Анатолий</t>
  </si>
  <si>
    <t>Мастера 50-59 (06.04.1966)/53</t>
  </si>
  <si>
    <t>95,70</t>
  </si>
  <si>
    <t>Горпиныч Александр</t>
  </si>
  <si>
    <t>Мастера 50-59 (22.09.1968)/51</t>
  </si>
  <si>
    <t>92,40</t>
  </si>
  <si>
    <t xml:space="preserve">KAZ/Усть-Каменогорск </t>
  </si>
  <si>
    <t xml:space="preserve"> BLR/Минск</t>
  </si>
  <si>
    <t>Горислов Анатолий</t>
  </si>
  <si>
    <t>Мастера 80+ (14.11.1939)/80</t>
  </si>
  <si>
    <t xml:space="preserve">RUS/Ярцево </t>
  </si>
  <si>
    <t>Казаков Артём</t>
  </si>
  <si>
    <t>Юноши 17-19 (09.02.2001)/18</t>
  </si>
  <si>
    <t>105,20</t>
  </si>
  <si>
    <t>Лукинов Кирилл</t>
  </si>
  <si>
    <t xml:space="preserve">Кочетов А. </t>
  </si>
  <si>
    <t>Сорокин Семен</t>
  </si>
  <si>
    <t>Юниоры (19.04.1997)/22</t>
  </si>
  <si>
    <t>Четвериков Никита</t>
  </si>
  <si>
    <t xml:space="preserve">Чебыкин А. </t>
  </si>
  <si>
    <t>Орлов Илья</t>
  </si>
  <si>
    <t>104,10</t>
  </si>
  <si>
    <t xml:space="preserve">Краснов Н </t>
  </si>
  <si>
    <t>Бондарев Евгений</t>
  </si>
  <si>
    <t>Открытая (21.09.1985)/34</t>
  </si>
  <si>
    <t>106,50</t>
  </si>
  <si>
    <t>Сагдиев Рустем</t>
  </si>
  <si>
    <t>Открытая (21.10.1971)/48</t>
  </si>
  <si>
    <t>106,70</t>
  </si>
  <si>
    <t>Милантьев Сергей</t>
  </si>
  <si>
    <t>Открытая (19.10.1981)/38</t>
  </si>
  <si>
    <t>Оброшников Максим</t>
  </si>
  <si>
    <t>109,40</t>
  </si>
  <si>
    <t>Антонов Эдуард</t>
  </si>
  <si>
    <t>Открытая (27.02.1995)/24</t>
  </si>
  <si>
    <t xml:space="preserve">Антонов В. </t>
  </si>
  <si>
    <t>Белецкий Евгений</t>
  </si>
  <si>
    <t>Открытая (02.05.1964)/55</t>
  </si>
  <si>
    <t xml:space="preserve">RUS/Комсомольск-на-Амуре </t>
  </si>
  <si>
    <t>Муратов Андрей</t>
  </si>
  <si>
    <t>Открытая (27.03.1988)/31</t>
  </si>
  <si>
    <t xml:space="preserve">RUS/Высоковск </t>
  </si>
  <si>
    <t xml:space="preserve">Устинов С. </t>
  </si>
  <si>
    <t>Гасымлы Ибрагим</t>
  </si>
  <si>
    <t>Открытая (03.08.1979)/40</t>
  </si>
  <si>
    <t>Куделин Владимир</t>
  </si>
  <si>
    <t>Открытая (17.01.1987)/32</t>
  </si>
  <si>
    <t>Селезнёв Виталий</t>
  </si>
  <si>
    <t>Открытая (23.09.1987)/32</t>
  </si>
  <si>
    <t>107,60</t>
  </si>
  <si>
    <t>Сюсяев Андрей</t>
  </si>
  <si>
    <t>109,90</t>
  </si>
  <si>
    <t xml:space="preserve">RUS/Пионерский </t>
  </si>
  <si>
    <t>Агафонов В.</t>
  </si>
  <si>
    <t>Исаков Егор</t>
  </si>
  <si>
    <t>Открытая (12.03.1992)/27</t>
  </si>
  <si>
    <t xml:space="preserve">RUS/Шаховская </t>
  </si>
  <si>
    <t xml:space="preserve">Гурякова А. </t>
  </si>
  <si>
    <t>Образумов Дмитрий</t>
  </si>
  <si>
    <t>Открытая (09.03.1980)/39</t>
  </si>
  <si>
    <t>Панчев Антон</t>
  </si>
  <si>
    <t>Открытая (05.10.1987)/32</t>
  </si>
  <si>
    <t>Серов Александр</t>
  </si>
  <si>
    <t>Открытая (21.09.1988)/31</t>
  </si>
  <si>
    <t>Романов Константин</t>
  </si>
  <si>
    <t>Открытая (27.03.1987)/32</t>
  </si>
  <si>
    <t>101,30</t>
  </si>
  <si>
    <t>Коваль-Огоренко Алексей</t>
  </si>
  <si>
    <t>Открытая (21.12.1980)/38</t>
  </si>
  <si>
    <t>105,70</t>
  </si>
  <si>
    <t xml:space="preserve">Сорокин С. </t>
  </si>
  <si>
    <t>Абдуллаев Мамед</t>
  </si>
  <si>
    <t>Открытая (24.05.1979)/40</t>
  </si>
  <si>
    <t>Мастера 40-49 (21.10.1971)/48</t>
  </si>
  <si>
    <t>Цыплов Сергей</t>
  </si>
  <si>
    <t>Мастера 40-49 (15.09.1976)/43</t>
  </si>
  <si>
    <t>107,50</t>
  </si>
  <si>
    <t xml:space="preserve">Пономарев И. </t>
  </si>
  <si>
    <t>Борисов Олег</t>
  </si>
  <si>
    <t>Мастера 40-49 (22.05.1971)/48</t>
  </si>
  <si>
    <t>Колганов Сергей</t>
  </si>
  <si>
    <t>Мастера 40-49 (20.07.1978)/41</t>
  </si>
  <si>
    <t>Мурашов Максим</t>
  </si>
  <si>
    <t>Мастера 40-49 (19.09.1979)/40</t>
  </si>
  <si>
    <t>Савельев Сергей</t>
  </si>
  <si>
    <t>Мастера 40-49 (15.03.1975)/44</t>
  </si>
  <si>
    <t>Галахов Александр</t>
  </si>
  <si>
    <t>Мастера 40-49 (21.05.1971)/48</t>
  </si>
  <si>
    <t xml:space="preserve">Калинеченко В. </t>
  </si>
  <si>
    <t>Мастера 40-49 (03.08.1979)/40</t>
  </si>
  <si>
    <t>Романов Александр</t>
  </si>
  <si>
    <t>Мастера 40-49 (02.02.1973)/46</t>
  </si>
  <si>
    <t>Афонин Сергей</t>
  </si>
  <si>
    <t>Мастера 40-49 (01.09.1974)/45</t>
  </si>
  <si>
    <t>Стенин Василий</t>
  </si>
  <si>
    <t>Мастера 40-49 (05.06.1975)/44</t>
  </si>
  <si>
    <t xml:space="preserve">Салтыков Н. </t>
  </si>
  <si>
    <t>Васильев Андрей</t>
  </si>
  <si>
    <t>Мастера 40-49 (22.05.1978)/41</t>
  </si>
  <si>
    <t>Мастера 50-59 (02.05.1964)/55</t>
  </si>
  <si>
    <t>Веселов Алексей</t>
  </si>
  <si>
    <t>Мастера 50-59 (26.07.1966)/53</t>
  </si>
  <si>
    <t>Абдулманафов Юрий</t>
  </si>
  <si>
    <t>Мастера 50-59 (03.08.1969)/50</t>
  </si>
  <si>
    <t xml:space="preserve"> RUS/Петропавловск-Камчатский</t>
  </si>
  <si>
    <t>Замалиев С.</t>
  </si>
  <si>
    <t>Белобородов Виталий</t>
  </si>
  <si>
    <t>Мастера 50-59 (05.06.1968)/51</t>
  </si>
  <si>
    <t xml:space="preserve">MDA/Тирасполь </t>
  </si>
  <si>
    <t xml:space="preserve">Мазур В. </t>
  </si>
  <si>
    <t>Тукушев Серик</t>
  </si>
  <si>
    <t>Мастера 50-59 (26.09.1967)/52</t>
  </si>
  <si>
    <t>Vrbiniak Julius</t>
  </si>
  <si>
    <t>Мастера 60-69 (20.12.1956)/62</t>
  </si>
  <si>
    <t xml:space="preserve">SVK/Lucenec </t>
  </si>
  <si>
    <t xml:space="preserve">Mihaly P. </t>
  </si>
  <si>
    <t>Зяблов Николай</t>
  </si>
  <si>
    <t>Мастера 60-69 (05.04.1958)/61</t>
  </si>
  <si>
    <t>102,70</t>
  </si>
  <si>
    <t xml:space="preserve">Разумов А. </t>
  </si>
  <si>
    <t>Шведов Антон</t>
  </si>
  <si>
    <t>Юноши 17-19 (10.01.2000)/19</t>
  </si>
  <si>
    <t>120,30</t>
  </si>
  <si>
    <t>Трубников Даниил</t>
  </si>
  <si>
    <t>Юноши 17-19 (04.06.2000)/19</t>
  </si>
  <si>
    <t>118,40</t>
  </si>
  <si>
    <t xml:space="preserve">Невежин А. </t>
  </si>
  <si>
    <t>Мынка Эрик</t>
  </si>
  <si>
    <t>Юниоры (14.07.1996)/23</t>
  </si>
  <si>
    <t>113,80</t>
  </si>
  <si>
    <t>Чиликин Алексей</t>
  </si>
  <si>
    <t>Открытая (21.01.1978)/41</t>
  </si>
  <si>
    <t>Кузнецов Александр</t>
  </si>
  <si>
    <t>Открытая (20.06.1979)/40</t>
  </si>
  <si>
    <t>119,50</t>
  </si>
  <si>
    <t>Попов Александр</t>
  </si>
  <si>
    <t>Открытая (14.05.1983)/36</t>
  </si>
  <si>
    <t>121,00</t>
  </si>
  <si>
    <t xml:space="preserve">RUS/Нижневартовск </t>
  </si>
  <si>
    <t>Михайлов Алексей</t>
  </si>
  <si>
    <t>Открытая (23.07.1986)/33</t>
  </si>
  <si>
    <t>121,40</t>
  </si>
  <si>
    <t>Raidel Christian</t>
  </si>
  <si>
    <t>Открытая (21.03.1982)/37</t>
  </si>
  <si>
    <t>122,80</t>
  </si>
  <si>
    <t xml:space="preserve">AUT/Strasswalchen </t>
  </si>
  <si>
    <t xml:space="preserve">Mezarosh L. </t>
  </si>
  <si>
    <t>Силаев Максим</t>
  </si>
  <si>
    <t>Открытая (07.06.1968)/51</t>
  </si>
  <si>
    <t>123,10</t>
  </si>
  <si>
    <t>Базанов Евгений</t>
  </si>
  <si>
    <t>Открытая (01.08.1991)/28</t>
  </si>
  <si>
    <t>Горчаков Алексей</t>
  </si>
  <si>
    <t>Открытая (09.04.1988)/31</t>
  </si>
  <si>
    <t>123,30</t>
  </si>
  <si>
    <t xml:space="preserve">Колосков Б. </t>
  </si>
  <si>
    <t>Юрашевич Антон</t>
  </si>
  <si>
    <t>Открытая (24.05.1981)/38</t>
  </si>
  <si>
    <t>Новиков Леонид</t>
  </si>
  <si>
    <t>Открытая (18.05.1983)/36</t>
  </si>
  <si>
    <t>Голованов Игорь</t>
  </si>
  <si>
    <t>Открытая (04.11.1983)/36</t>
  </si>
  <si>
    <t>Рыжков Анатолий</t>
  </si>
  <si>
    <t>Открытая (20.06.1984)/35</t>
  </si>
  <si>
    <t>Khanna Vishal</t>
  </si>
  <si>
    <t>Открытая (09.12.1980)/38</t>
  </si>
  <si>
    <t xml:space="preserve">IND/Amristar </t>
  </si>
  <si>
    <t>Смирнов Алексей</t>
  </si>
  <si>
    <t>Открытая (09.06.1988)/31</t>
  </si>
  <si>
    <t>124,20</t>
  </si>
  <si>
    <t xml:space="preserve">Слабун А. </t>
  </si>
  <si>
    <t>Климов Виктор</t>
  </si>
  <si>
    <t>Мастера 40-49 (10.03.1975)/44</t>
  </si>
  <si>
    <t>Сарычев Александр</t>
  </si>
  <si>
    <t>Мастера 40-49 (03.01.1976)/43</t>
  </si>
  <si>
    <t>116,50</t>
  </si>
  <si>
    <t>Мастера 50-59 (07.06.1968)/51</t>
  </si>
  <si>
    <t>Васильев Виктор</t>
  </si>
  <si>
    <t>Мастера 60-69 (09.02.1954)/65</t>
  </si>
  <si>
    <t>114,20</t>
  </si>
  <si>
    <t>Лубкин Евгений</t>
  </si>
  <si>
    <t>Открытая (16.08.1985)/34</t>
  </si>
  <si>
    <t>134,20</t>
  </si>
  <si>
    <t>Расторгуев Олег</t>
  </si>
  <si>
    <t>Открытая (08.08.1973)/46</t>
  </si>
  <si>
    <t>133,60</t>
  </si>
  <si>
    <t>Ghanbari Mahdi</t>
  </si>
  <si>
    <t>Открытая (20.02.1980)/39</t>
  </si>
  <si>
    <t>129,70</t>
  </si>
  <si>
    <t>Фомин Илья</t>
  </si>
  <si>
    <t>Открытая (04.08.1994)/25</t>
  </si>
  <si>
    <t>Рахимов Баграм</t>
  </si>
  <si>
    <t>Открытая (04.07.1976)/43</t>
  </si>
  <si>
    <t>133,30</t>
  </si>
  <si>
    <t xml:space="preserve">Краснояров В. </t>
  </si>
  <si>
    <t>Мастера 40-49 (08.08.1973)/46</t>
  </si>
  <si>
    <t>Susztay Erik</t>
  </si>
  <si>
    <t>Мастера 40-49 (28.06.1972)/47</t>
  </si>
  <si>
    <t>133,10</t>
  </si>
  <si>
    <t>Мастера 40-49 (04.07.1976)/43</t>
  </si>
  <si>
    <t>Yue Yang</t>
  </si>
  <si>
    <t>Открытая (01.12.1982)/37</t>
  </si>
  <si>
    <t>146,50</t>
  </si>
  <si>
    <t>Горбунов Александр</t>
  </si>
  <si>
    <t>Открытая (15.09.1986)/33</t>
  </si>
  <si>
    <t xml:space="preserve">Весовая </t>
  </si>
  <si>
    <t>132,2000</t>
  </si>
  <si>
    <t>126,7630</t>
  </si>
  <si>
    <t>118,7595</t>
  </si>
  <si>
    <t>116,1180</t>
  </si>
  <si>
    <t>107,7375</t>
  </si>
  <si>
    <t>100,0310</t>
  </si>
  <si>
    <t>124,2670</t>
  </si>
  <si>
    <t>119,7690</t>
  </si>
  <si>
    <t>117,5790</t>
  </si>
  <si>
    <t>154,0690</t>
  </si>
  <si>
    <t>150,0870</t>
  </si>
  <si>
    <t>149,1375</t>
  </si>
  <si>
    <t>156,2400</t>
  </si>
  <si>
    <t>155,2750</t>
  </si>
  <si>
    <t>V Чемпионат мира WRPF
WEPF любители Жим лежа в однослойной экипировке ДК
Москва, 4 - 8 декабря 2019 года</t>
  </si>
  <si>
    <t>Краснобаев Даниил</t>
  </si>
  <si>
    <t>Открытая (18.05.1981)/38</t>
  </si>
  <si>
    <t>Карлов Алексей</t>
  </si>
  <si>
    <t>Открытая (26.06.1992)/27</t>
  </si>
  <si>
    <t xml:space="preserve">Шейко Б. </t>
  </si>
  <si>
    <t>Земерев Иван</t>
  </si>
  <si>
    <t>Открытая (14.01.1990)/29</t>
  </si>
  <si>
    <t xml:space="preserve">RUS/Сланцы </t>
  </si>
  <si>
    <t>Кончаков Владимир</t>
  </si>
  <si>
    <t>Открытая (25.05.1973)/46</t>
  </si>
  <si>
    <t xml:space="preserve">Белкин Ю. </t>
  </si>
  <si>
    <t>Григорьев Денис</t>
  </si>
  <si>
    <t>Открытая (07.08.1982)/37</t>
  </si>
  <si>
    <t>Asadzadeh Choubari</t>
  </si>
  <si>
    <t>Открытая (08.09.1984)/35</t>
  </si>
  <si>
    <t>127,00</t>
  </si>
  <si>
    <t>IRN/Тегеран</t>
  </si>
  <si>
    <t>177,4518</t>
  </si>
  <si>
    <t>145,2562</t>
  </si>
  <si>
    <t>137,5345</t>
  </si>
  <si>
    <t>V Чемпионат мира WRPF
WEPF любители Жим лежа в однослойной экипировке
Москва, 4 - 8 декабря 2019 года</t>
  </si>
  <si>
    <t>Shokrgozar Amir</t>
  </si>
  <si>
    <t>Открытая (14.06.1983)/36</t>
  </si>
  <si>
    <t>79,20</t>
  </si>
  <si>
    <t>Семенихин Иван</t>
  </si>
  <si>
    <t>Открытая (30.03.1991)/28</t>
  </si>
  <si>
    <t>Сапунков Константин</t>
  </si>
  <si>
    <t>Открытая (02.09.1981)/38</t>
  </si>
  <si>
    <t xml:space="preserve">RUS/Ивантеевка </t>
  </si>
  <si>
    <t xml:space="preserve">Брехов Р. </t>
  </si>
  <si>
    <t>Bhesania Y.</t>
  </si>
  <si>
    <t>Naderi Saeid</t>
  </si>
  <si>
    <t>Открытая (11.12.1981)/37</t>
  </si>
  <si>
    <t>Исаев Алексей</t>
  </si>
  <si>
    <t>Открытая (20.06.1975)/44</t>
  </si>
  <si>
    <t>117,40</t>
  </si>
  <si>
    <t xml:space="preserve">RUS/Константиновск </t>
  </si>
  <si>
    <t>Мастера 40-49 (20.06.1975)/44</t>
  </si>
  <si>
    <t>Zamani Danial</t>
  </si>
  <si>
    <t>Открытая (03.09.1991)/28</t>
  </si>
  <si>
    <t>156,00</t>
  </si>
  <si>
    <t>161,5052</t>
  </si>
  <si>
    <t>159,4060</t>
  </si>
  <si>
    <t>158,0330</t>
  </si>
  <si>
    <t>V Чемпионат мира WRPF
WEPF любители Жим лежа в многослойной экипировке ДК
Москва, 4 - 8 декабря 2019 года</t>
  </si>
  <si>
    <t>Открытая (13.03.1958)/61</t>
  </si>
  <si>
    <t>V Чемпионат мира WRPF
WEPF любители Жим лежа в многослойной экипировке
Москва, 4 - 8 декабря 2019 года</t>
  </si>
  <si>
    <t>Исмаилов Акшин</t>
  </si>
  <si>
    <t>Открытая (30.03.1978)/41</t>
  </si>
  <si>
    <t xml:space="preserve">Джафаров Н. </t>
  </si>
  <si>
    <t>Nijat Nasirov</t>
  </si>
  <si>
    <t>Открытая (21.03.1989)/30</t>
  </si>
  <si>
    <t>Aliev N.</t>
  </si>
  <si>
    <t>Распопов Максим</t>
  </si>
  <si>
    <t>Открытая (11.07.1992)/27</t>
  </si>
  <si>
    <t>Hajiyev Kanan</t>
  </si>
  <si>
    <t>Открытая (23.03.1989)/30</t>
  </si>
  <si>
    <t>Гусейнов Ниджат</t>
  </si>
  <si>
    <t>Открытая (18.09.1989)/30</t>
  </si>
  <si>
    <t xml:space="preserve">Маммадов Э. </t>
  </si>
  <si>
    <t>Маммадов Вагиф</t>
  </si>
  <si>
    <t>Мастера 40-49 (20.10.1972)/47</t>
  </si>
  <si>
    <t>Дудинец Андрей</t>
  </si>
  <si>
    <t>Открытая (02.06.1991)/28</t>
  </si>
  <si>
    <t>296,0</t>
  </si>
  <si>
    <t>Маммадов Эльдар</t>
  </si>
  <si>
    <t>Мастера 40-49 (14.08.1978)/41</t>
  </si>
  <si>
    <t>Mihaly Peter</t>
  </si>
  <si>
    <t>Мастера 60-69 (27.06.1958)/61</t>
  </si>
  <si>
    <t>160,40</t>
  </si>
  <si>
    <t>V Чемпионат мира WRPF
WEPF Жим лежа в однопетельной софт экипировке ДК
Москва, 4 - 8 декабря 2019 года</t>
  </si>
  <si>
    <t>Gloss</t>
  </si>
  <si>
    <t>54,60</t>
  </si>
  <si>
    <t>Ногай Юрий</t>
  </si>
  <si>
    <t>Открытая (26.05.1983)/36</t>
  </si>
  <si>
    <t xml:space="preserve">Хованский Д. </t>
  </si>
  <si>
    <t>Открытая (17.07.1975)/44</t>
  </si>
  <si>
    <t>Открытая (21.01.1968)/51</t>
  </si>
  <si>
    <t>Соловьев-Новиков Алексей</t>
  </si>
  <si>
    <t>Мастера 50-59 (08.07.1969)/50</t>
  </si>
  <si>
    <t>Антипов Владислав</t>
  </si>
  <si>
    <t>Юниоры (28.03.1996)/23</t>
  </si>
  <si>
    <t>Свидин Андрей</t>
  </si>
  <si>
    <t>Иванов Игорь</t>
  </si>
  <si>
    <t>Открытая (05.08.1968)/51</t>
  </si>
  <si>
    <t xml:space="preserve">RUS/Сосновый Бор </t>
  </si>
  <si>
    <t xml:space="preserve">Гудков М. </t>
  </si>
  <si>
    <t>Бирюков Сергей</t>
  </si>
  <si>
    <t>Открытая (17.07.1985)/34</t>
  </si>
  <si>
    <t>Мастера 50-59 (05.08.1968)/51</t>
  </si>
  <si>
    <t>Ли Владимир</t>
  </si>
  <si>
    <t>Мастера 60-69 (16.10.1951)/68</t>
  </si>
  <si>
    <t>Павленко Анатолий</t>
  </si>
  <si>
    <t>Мастера 60-69 (26.05.1952)/67</t>
  </si>
  <si>
    <t xml:space="preserve"> RUS/Волгоград</t>
  </si>
  <si>
    <t>Толстов Дмитрий</t>
  </si>
  <si>
    <t>Мастера 40-49 (26.10.1973)/46</t>
  </si>
  <si>
    <t xml:space="preserve">RUS/Кашира </t>
  </si>
  <si>
    <t xml:space="preserve">Егорочкин А. </t>
  </si>
  <si>
    <t>Открытая (03.05.1975)/44</t>
  </si>
  <si>
    <t>Корчинский Василий</t>
  </si>
  <si>
    <t>Открытая (26.07.1981)/38</t>
  </si>
  <si>
    <t>103,20</t>
  </si>
  <si>
    <t>Гаража Юрий</t>
  </si>
  <si>
    <t>Открытая (02.06.1982)/37</t>
  </si>
  <si>
    <t>Чередин Владимир</t>
  </si>
  <si>
    <t>Открытая (30.01.1971)/48</t>
  </si>
  <si>
    <t xml:space="preserve">BLR/Мозырь </t>
  </si>
  <si>
    <t xml:space="preserve">Залуцкий Р. </t>
  </si>
  <si>
    <t>Печейкин Олег</t>
  </si>
  <si>
    <t>Открытая (09.10.1982)/37</t>
  </si>
  <si>
    <t xml:space="preserve">Тарасова В. </t>
  </si>
  <si>
    <t>Велес Евгений</t>
  </si>
  <si>
    <t>Мастера 50-59 (09.03.1968)/51</t>
  </si>
  <si>
    <t>Куротченко Игорь</t>
  </si>
  <si>
    <t>Мастера 50-59 (20.03.1962)/57</t>
  </si>
  <si>
    <t>111,00</t>
  </si>
  <si>
    <t>271,0</t>
  </si>
  <si>
    <t>Мима Виктор</t>
  </si>
  <si>
    <t>Открытая (31.10.1991)/28</t>
  </si>
  <si>
    <t>152,50</t>
  </si>
  <si>
    <t xml:space="preserve">RUS/Белгород </t>
  </si>
  <si>
    <t xml:space="preserve">Gloss </t>
  </si>
  <si>
    <t>159,6885</t>
  </si>
  <si>
    <t>152,8088</t>
  </si>
  <si>
    <t>151,0410</t>
  </si>
  <si>
    <t>169,6997</t>
  </si>
  <si>
    <t>168,0377</t>
  </si>
  <si>
    <t>157,4352</t>
  </si>
  <si>
    <t>V Чемпионат мира WRPF
WEPF Жим лежа в однопетельной софт экипировке
Москва, 4 - 8 декабря 2019 года</t>
  </si>
  <si>
    <t>Волков Алексей</t>
  </si>
  <si>
    <t>Открытая (03.05.1985)/34</t>
  </si>
  <si>
    <t>Суший Илья</t>
  </si>
  <si>
    <t>Открытая (20.08.1984)/35</t>
  </si>
  <si>
    <t xml:space="preserve">RUS/Северск </t>
  </si>
  <si>
    <t>Моркин Антон</t>
  </si>
  <si>
    <t>Мастера 40-49 (30.10.1979)/40</t>
  </si>
  <si>
    <t>Силушин Павел</t>
  </si>
  <si>
    <t>Открытая (17.09.1989)/30</t>
  </si>
  <si>
    <t xml:space="preserve">Силушин А. </t>
  </si>
  <si>
    <t>Завадский Алексей</t>
  </si>
  <si>
    <t>Открытая (30.08.1990)/29</t>
  </si>
  <si>
    <t>Ильин Виктор</t>
  </si>
  <si>
    <t>Открытая (06.06.1984)/35</t>
  </si>
  <si>
    <t xml:space="preserve"> KAZ/Алматы </t>
  </si>
  <si>
    <t>Гольцов Александр</t>
  </si>
  <si>
    <t>Открытая (02.01.1987)/32</t>
  </si>
  <si>
    <t>Открытая (10.10.1972)/47</t>
  </si>
  <si>
    <t>Богатырёв Денис</t>
  </si>
  <si>
    <t>Открытая (23.03.1987)/32</t>
  </si>
  <si>
    <t>Лобанов Сергей</t>
  </si>
  <si>
    <t>Открытая (20.03.1981)/38</t>
  </si>
  <si>
    <t>97,40</t>
  </si>
  <si>
    <t>Терлецкий Матвей</t>
  </si>
  <si>
    <t>Открытая (22.04.1992)/27</t>
  </si>
  <si>
    <t xml:space="preserve">Потапов А. </t>
  </si>
  <si>
    <t>Исмаилов Халиг</t>
  </si>
  <si>
    <t>Открытая (20.12.1985)/33</t>
  </si>
  <si>
    <t xml:space="preserve">Шамси Б. </t>
  </si>
  <si>
    <t>92,30</t>
  </si>
  <si>
    <t>Котельников Георгий</t>
  </si>
  <si>
    <t>Открытая (04.06.1992)/27</t>
  </si>
  <si>
    <t>92,50</t>
  </si>
  <si>
    <t>Горбачевский Виктор</t>
  </si>
  <si>
    <t>Мастера 50-59 (28.04.1969)/50</t>
  </si>
  <si>
    <t>Пузырев Денис</t>
  </si>
  <si>
    <t>Открытая (31.03.1974)/45</t>
  </si>
  <si>
    <t xml:space="preserve">Грудев А. </t>
  </si>
  <si>
    <t>Чайковский Денис</t>
  </si>
  <si>
    <t>Открытая (18.04.1986)/33</t>
  </si>
  <si>
    <t>Мастера 40-49 (31.03.1974)/45</t>
  </si>
  <si>
    <t>Архипов Владимир</t>
  </si>
  <si>
    <t>Мастера 70-79 (26.09.1942)/77</t>
  </si>
  <si>
    <t>120,80</t>
  </si>
  <si>
    <t>113,60</t>
  </si>
  <si>
    <t>Жемаркин Дмитрий</t>
  </si>
  <si>
    <t>Юниоры (29.01.1997)/22</t>
  </si>
  <si>
    <t>125,10</t>
  </si>
  <si>
    <t>Открытая (29.01.1997)/22</t>
  </si>
  <si>
    <t>Исматиллаев Джамшид</t>
  </si>
  <si>
    <t>Открытая (16.11.1983)/36</t>
  </si>
  <si>
    <t>126,20</t>
  </si>
  <si>
    <t xml:space="preserve">RUS/Судак </t>
  </si>
  <si>
    <t xml:space="preserve">Хвича Х. </t>
  </si>
  <si>
    <t>181,2020</t>
  </si>
  <si>
    <t>174,0375</t>
  </si>
  <si>
    <t>164,5875</t>
  </si>
  <si>
    <t>173,1890</t>
  </si>
  <si>
    <t>158,1194</t>
  </si>
  <si>
    <t>156,5245</t>
  </si>
  <si>
    <t>V Чемпионат мира WRPF
WEPF Жим лежа в многопетельной софт экипировке ДК
Москва, 4 - 8 декабря 2019 года</t>
  </si>
  <si>
    <t>Черненко Михаил</t>
  </si>
  <si>
    <t>Юниоры (25.12.1995)/23</t>
  </si>
  <si>
    <t>71,80</t>
  </si>
  <si>
    <t>Варшавский Илья</t>
  </si>
  <si>
    <t>Открытая (03.11.1991)/28</t>
  </si>
  <si>
    <t>Небыков Алексей</t>
  </si>
  <si>
    <t>Открытая (19.03.1966)/53</t>
  </si>
  <si>
    <t>Плотников Иван</t>
  </si>
  <si>
    <t>Открытая (08.04.1984)/35</t>
  </si>
  <si>
    <t xml:space="preserve">RUS/Кемерово </t>
  </si>
  <si>
    <t>Шадров Е.</t>
  </si>
  <si>
    <t>Мастера 50-59 (19.03.1966)/53</t>
  </si>
  <si>
    <t>Скобкарев Роман</t>
  </si>
  <si>
    <t>Открытая (25.09.1986)/33</t>
  </si>
  <si>
    <t>89,70</t>
  </si>
  <si>
    <t xml:space="preserve">Пикляев Д. </t>
  </si>
  <si>
    <t>Ванян Владимир</t>
  </si>
  <si>
    <t>Открытая (14.10.1989)/30</t>
  </si>
  <si>
    <t>97,70</t>
  </si>
  <si>
    <t>316,0</t>
  </si>
  <si>
    <t>Сухарев Кирилл</t>
  </si>
  <si>
    <t>Открытая (21.12.1993)/25</t>
  </si>
  <si>
    <t xml:space="preserve">Сухарев А. </t>
  </si>
  <si>
    <t>Щеславский Станислав</t>
  </si>
  <si>
    <t>Открытая (15.04.1981)/38</t>
  </si>
  <si>
    <t>97,85</t>
  </si>
  <si>
    <t>Сухарев Андрей</t>
  </si>
  <si>
    <t>Открытая (22.07.1974)/45</t>
  </si>
  <si>
    <t>362,5</t>
  </si>
  <si>
    <t>Мастера 40-49 (22.07.1974)/45</t>
  </si>
  <si>
    <t>Кузнецов Евгений</t>
  </si>
  <si>
    <t>Мастера 40-49 (22.09.1978)/41</t>
  </si>
  <si>
    <t xml:space="preserve">Григорьев Д. </t>
  </si>
  <si>
    <t>Суворов Юрий</t>
  </si>
  <si>
    <t>Мастера 50-59 (22.11.1965)/54</t>
  </si>
  <si>
    <t xml:space="preserve">Крылов М. </t>
  </si>
  <si>
    <t>400,0</t>
  </si>
  <si>
    <t>Любарский Михаил</t>
  </si>
  <si>
    <t>Юноши 17-19 (03.10.2002)/17</t>
  </si>
  <si>
    <t>135,80</t>
  </si>
  <si>
    <t>Гузев Павел</t>
  </si>
  <si>
    <t>Открытая (29.05.1966)/53</t>
  </si>
  <si>
    <t>126,90</t>
  </si>
  <si>
    <t>Мастера 50-59 (29.05.1966)/53</t>
  </si>
  <si>
    <t>217,3185</t>
  </si>
  <si>
    <t>212,0003</t>
  </si>
  <si>
    <t>211,9875</t>
  </si>
  <si>
    <t>223,6468</t>
  </si>
  <si>
    <t>218,7632</t>
  </si>
  <si>
    <t>192,3260</t>
  </si>
  <si>
    <t>V Чемпионат мира WRPF
WEPF Жим лежа в многопетельной софт экипировке
Москва, 4 - 8 декабря 2019 года</t>
  </si>
  <si>
    <t>Николаева Екатерина</t>
  </si>
  <si>
    <t xml:space="preserve">Егорова Е. </t>
  </si>
  <si>
    <t>Прокопова Елена</t>
  </si>
  <si>
    <t>Открытая (07.03.1966)/53</t>
  </si>
  <si>
    <t>66,20</t>
  </si>
  <si>
    <t>Егорова Евгения</t>
  </si>
  <si>
    <t>Открытая (28.11.1990)/29</t>
  </si>
  <si>
    <t xml:space="preserve">Николаева Е. </t>
  </si>
  <si>
    <t>Мастера 50-59 (07.03.1966)/53</t>
  </si>
  <si>
    <t>Килин Роман</t>
  </si>
  <si>
    <t>Юниоры (02.06.1998)/21</t>
  </si>
  <si>
    <t xml:space="preserve">RUS/Чайковский </t>
  </si>
  <si>
    <t>342,0</t>
  </si>
  <si>
    <t>Открытая (02.06.1998)/21</t>
  </si>
  <si>
    <t>Хованский Дмитрий</t>
  </si>
  <si>
    <t>Открытая (26.05.1986)/33</t>
  </si>
  <si>
    <t>Замалиев Сергей</t>
  </si>
  <si>
    <t>Открытая (15.11.1977)/42</t>
  </si>
  <si>
    <t xml:space="preserve">Замалиев С. </t>
  </si>
  <si>
    <t>Ханагян Эдвард</t>
  </si>
  <si>
    <t>Открытая (22.05.1989)/30</t>
  </si>
  <si>
    <t xml:space="preserve">Шадров Е. </t>
  </si>
  <si>
    <t xml:space="preserve">  KAZ/Алматы </t>
  </si>
  <si>
    <t>Мастера 40-49 (15.11.1977)/42</t>
  </si>
  <si>
    <t>Шагулин Виктор</t>
  </si>
  <si>
    <t>Юниоры (13.01.1998)/21</t>
  </si>
  <si>
    <t>94,30</t>
  </si>
  <si>
    <t>Чебыкин Андрей</t>
  </si>
  <si>
    <t>Открытая (26.03.1976)/43</t>
  </si>
  <si>
    <t>Борщёв Александр</t>
  </si>
  <si>
    <t>Открытая (24.03.1986)/33</t>
  </si>
  <si>
    <t>Мастера 40-49 (26.03.1976)/43</t>
  </si>
  <si>
    <t>Екимчик Игорь</t>
  </si>
  <si>
    <t>Мастера 50-59 (14.03.1967)/52</t>
  </si>
  <si>
    <t xml:space="preserve">Соболевский Е. </t>
  </si>
  <si>
    <t>Леонов Павел</t>
  </si>
  <si>
    <t>Открытая (08.11.1983)/36</t>
  </si>
  <si>
    <t>102,80</t>
  </si>
  <si>
    <t xml:space="preserve"> RUS/Лосино-Петровский</t>
  </si>
  <si>
    <t>430,0</t>
  </si>
  <si>
    <t>Шадров Евгений</t>
  </si>
  <si>
    <t>Открытая (11.02.1993)/26</t>
  </si>
  <si>
    <t>105,60</t>
  </si>
  <si>
    <t>Мамедов Емин</t>
  </si>
  <si>
    <t>Мастера 40-49 (31.08.1974)/45</t>
  </si>
  <si>
    <t xml:space="preserve">Ли А. </t>
  </si>
  <si>
    <t>Василенко Дмитрий</t>
  </si>
  <si>
    <t>Мастера 40-49 (03.06.1975)/44</t>
  </si>
  <si>
    <t>Maksims Udalovs</t>
  </si>
  <si>
    <t>Мастера 40-49 (14.07.1974)/45</t>
  </si>
  <si>
    <t>Макей Александр</t>
  </si>
  <si>
    <t>Мастера 50-59 (15.02.1964)/55</t>
  </si>
  <si>
    <t>Емельянов Николай</t>
  </si>
  <si>
    <t>Открытая (30.08.1979)/40</t>
  </si>
  <si>
    <t>120,60</t>
  </si>
  <si>
    <t xml:space="preserve">RUS/Лосино-Петровский </t>
  </si>
  <si>
    <t xml:space="preserve">Каштанов С. </t>
  </si>
  <si>
    <t>Хмелев Александр</t>
  </si>
  <si>
    <t>Открытая (19.09.1971)/48</t>
  </si>
  <si>
    <t>382,5</t>
  </si>
  <si>
    <t>Козырев О.</t>
  </si>
  <si>
    <t>Шлепин Олег</t>
  </si>
  <si>
    <t>Открытая (08.07.1975)/44</t>
  </si>
  <si>
    <t>118,50</t>
  </si>
  <si>
    <t>Мастера 40-49 (30.08.1979)/40</t>
  </si>
  <si>
    <t>Мастера 40-49 (30.01.1971)/48</t>
  </si>
  <si>
    <t>Мастера 40-49 (19.09.1971)/48</t>
  </si>
  <si>
    <t>Фурсов Виктор</t>
  </si>
  <si>
    <t>Мастера 40-49 (09.05.1974)/45</t>
  </si>
  <si>
    <t>119,40</t>
  </si>
  <si>
    <t>Мастера 40-49 (08.07.1975)/44</t>
  </si>
  <si>
    <t>Борисов Артур</t>
  </si>
  <si>
    <t>Юниоры (29.12.1997)/21</t>
  </si>
  <si>
    <t>125,30</t>
  </si>
  <si>
    <t>Аксёнов Андрей</t>
  </si>
  <si>
    <t>Открытая (28.05.1992)/27</t>
  </si>
  <si>
    <t>146,00</t>
  </si>
  <si>
    <t xml:space="preserve">RUS/Орехово-Зуево </t>
  </si>
  <si>
    <t>440,0</t>
  </si>
  <si>
    <t>247,2500</t>
  </si>
  <si>
    <t>226,2767</t>
  </si>
  <si>
    <t>225,6435</t>
  </si>
  <si>
    <t>232,5643</t>
  </si>
  <si>
    <t>231,5024</t>
  </si>
  <si>
    <t>230,0681</t>
  </si>
  <si>
    <t>V Чемпионат мира WRPF
WRPF Народный жим 1 вес ДК
Москва, 4 - 8 декабря 2019 года</t>
  </si>
  <si>
    <t>Народный жим</t>
  </si>
  <si>
    <t>Тоннаж</t>
  </si>
  <si>
    <t>Вес</t>
  </si>
  <si>
    <t>Повторы</t>
  </si>
  <si>
    <t>Салахутдинов Альберт</t>
  </si>
  <si>
    <t>Открытая (31.12.1986)/32</t>
  </si>
  <si>
    <t>56,60</t>
  </si>
  <si>
    <t xml:space="preserve">Шафигуллин </t>
  </si>
  <si>
    <t xml:space="preserve">RUS/Сызрань  </t>
  </si>
  <si>
    <t>Нуреев Дмитрий</t>
  </si>
  <si>
    <t xml:space="preserve"> RUS/Сызрань  </t>
  </si>
  <si>
    <t>Мастера 60+ (24.08.1955)/64</t>
  </si>
  <si>
    <t>Стрельников Валерий</t>
  </si>
  <si>
    <t>Открытая (25.03.1981)/38</t>
  </si>
  <si>
    <t>Романов Антон</t>
  </si>
  <si>
    <t>Открытая (20.05.1986)/33</t>
  </si>
  <si>
    <t xml:space="preserve">RUS/Кинешма </t>
  </si>
  <si>
    <t xml:space="preserve"> RUS/Москва </t>
  </si>
  <si>
    <t>Калинин Сергей</t>
  </si>
  <si>
    <t>Мастера 40-49 (19.11.1975)/44</t>
  </si>
  <si>
    <t>Байкулов Дмитрий</t>
  </si>
  <si>
    <t>Мастера 50-59 (13.11.1966)/53</t>
  </si>
  <si>
    <t xml:space="preserve">  RUS/Астрахань</t>
  </si>
  <si>
    <t>Юниоры 20-23 (18.11.1998)/21</t>
  </si>
  <si>
    <t>Нарочный Антон</t>
  </si>
  <si>
    <t>Открытая (22.06.1987)/32</t>
  </si>
  <si>
    <t>79,80</t>
  </si>
  <si>
    <t xml:space="preserve">KGZ/Бишкек </t>
  </si>
  <si>
    <t>Коваленко Ярослав</t>
  </si>
  <si>
    <t>Открытая (26.09.1992)/27</t>
  </si>
  <si>
    <t>78,20</t>
  </si>
  <si>
    <t xml:space="preserve">  RUS/Якутск</t>
  </si>
  <si>
    <t>Селезнёв Роман</t>
  </si>
  <si>
    <t>Открытая (10.06.1982)/37</t>
  </si>
  <si>
    <t>76,90</t>
  </si>
  <si>
    <t>Юрков Максим</t>
  </si>
  <si>
    <t>Открытая (21.12.1988)/30</t>
  </si>
  <si>
    <t>Жилкин Олег</t>
  </si>
  <si>
    <t>Мастера 40-49 (07.11.1976)/43</t>
  </si>
  <si>
    <t>77,50</t>
  </si>
  <si>
    <t xml:space="preserve">RUS/Усолье-Сибирское </t>
  </si>
  <si>
    <t>Трошинский Вячеслав</t>
  </si>
  <si>
    <t>Мастера 50-59 (10.05.1960)/59</t>
  </si>
  <si>
    <t>Андрюхин Сергей</t>
  </si>
  <si>
    <t>Мастера 60+ (08.01.1958)/61</t>
  </si>
  <si>
    <t>Светанков Михаил</t>
  </si>
  <si>
    <t>Юноши 13-19 (02.05.2000)/19</t>
  </si>
  <si>
    <t xml:space="preserve">RUS/Кулебаки </t>
  </si>
  <si>
    <t>Юниоры 20-23 (19.08.1999)/20</t>
  </si>
  <si>
    <t>Бондаренко Илья</t>
  </si>
  <si>
    <t>Открытая (07.04.1981)/38</t>
  </si>
  <si>
    <t xml:space="preserve">Поздняков А. </t>
  </si>
  <si>
    <t>Шафигуллин Рамиль</t>
  </si>
  <si>
    <t>Открытая (31.03.1987)/32</t>
  </si>
  <si>
    <t>83,50</t>
  </si>
  <si>
    <t>Мищенко Артем</t>
  </si>
  <si>
    <t>Открытая (26.06.1984)/35</t>
  </si>
  <si>
    <t xml:space="preserve">Чокаев У. </t>
  </si>
  <si>
    <t>Арутюнян Спиридон</t>
  </si>
  <si>
    <t>Открытая (15.02.1981)/38</t>
  </si>
  <si>
    <t xml:space="preserve">Гузнищев А. </t>
  </si>
  <si>
    <t>Молозин Валерий</t>
  </si>
  <si>
    <t>Открытая (13.02.1987)/32</t>
  </si>
  <si>
    <t xml:space="preserve">RUS/Томск </t>
  </si>
  <si>
    <t xml:space="preserve">Епихин А. </t>
  </si>
  <si>
    <t>Мастера 60+ (26.09.1957)/62</t>
  </si>
  <si>
    <t>Филиппин Андрей</t>
  </si>
  <si>
    <t>Открытая (02.01.1982)/37</t>
  </si>
  <si>
    <t>100,90</t>
  </si>
  <si>
    <t xml:space="preserve">RUS/Кимовск </t>
  </si>
  <si>
    <t>Беляев Дмитрий</t>
  </si>
  <si>
    <t>Открытая (12.06.1984)/35</t>
  </si>
  <si>
    <t xml:space="preserve">Перов П. </t>
  </si>
  <si>
    <t>Махнист Артем</t>
  </si>
  <si>
    <t>Открытая (08.03.1984)/35</t>
  </si>
  <si>
    <t>BLR/Минск</t>
  </si>
  <si>
    <t xml:space="preserve">Кобанов Ю. </t>
  </si>
  <si>
    <t>Алгатов Багаудин</t>
  </si>
  <si>
    <t>Открытая (05.10.1990)/29</t>
  </si>
  <si>
    <t>Мадагов Рустам</t>
  </si>
  <si>
    <t>Открытая (14.08.1986)/33</t>
  </si>
  <si>
    <t>102,50</t>
  </si>
  <si>
    <t>Нахаев Н.</t>
  </si>
  <si>
    <t>Шиков Александр</t>
  </si>
  <si>
    <t>Мастера 50-59 (06.09.1969)/50</t>
  </si>
  <si>
    <t>112,00</t>
  </si>
  <si>
    <t>Аветисян Карэн</t>
  </si>
  <si>
    <t>Открытая (24.01.1989)/30</t>
  </si>
  <si>
    <t xml:space="preserve">Аветисян Б. </t>
  </si>
  <si>
    <t>3760,0</t>
  </si>
  <si>
    <t>2477,6519</t>
  </si>
  <si>
    <t>3780,0</t>
  </si>
  <si>
    <t>2324,3220</t>
  </si>
  <si>
    <t>3037,5</t>
  </si>
  <si>
    <t>2284,8075</t>
  </si>
  <si>
    <t>2661,8008</t>
  </si>
  <si>
    <t>2887,5</t>
  </si>
  <si>
    <t>2469,0400</t>
  </si>
  <si>
    <t xml:space="preserve">Мастера 60+ </t>
  </si>
  <si>
    <t>2227,5</t>
  </si>
  <si>
    <t>2438,8787</t>
  </si>
  <si>
    <t>V Чемпионат мира WRPF
WRPF Народный жим 1 вес
Москва, 4 - 8 декабря 2019 года</t>
  </si>
  <si>
    <t>Карнаушкина Ирина</t>
  </si>
  <si>
    <t>Мастера 40-49 (30.06.1972)/47</t>
  </si>
  <si>
    <t xml:space="preserve">Филоненко И. </t>
  </si>
  <si>
    <t>Мурашова Наталия</t>
  </si>
  <si>
    <t>Мастера 40-49 (19.04.1975)/44</t>
  </si>
  <si>
    <t>60,70</t>
  </si>
  <si>
    <t xml:space="preserve">Мурашов А. </t>
  </si>
  <si>
    <t>Грачева Ольга</t>
  </si>
  <si>
    <t>Баширов Селим</t>
  </si>
  <si>
    <t>Юноши 13-19 (09.05.2001)/18</t>
  </si>
  <si>
    <t xml:space="preserve">Кулиев Ф. </t>
  </si>
  <si>
    <t>Мастера 60+ (16.07.1936)/83</t>
  </si>
  <si>
    <t xml:space="preserve"> ISR/Хадера</t>
  </si>
  <si>
    <t>Коротких Дмитрий</t>
  </si>
  <si>
    <t>Юниоры 20-23 (17.11.1999)/20</t>
  </si>
  <si>
    <t>63,20</t>
  </si>
  <si>
    <t>Егоров Александр</t>
  </si>
  <si>
    <t>Открытая (21.03.1983)/36</t>
  </si>
  <si>
    <t xml:space="preserve">RUS/Луховицы </t>
  </si>
  <si>
    <t xml:space="preserve">Заболотников И. </t>
  </si>
  <si>
    <t>Abduev Mustafo</t>
  </si>
  <si>
    <t>Открытая (25.12.1985)/33</t>
  </si>
  <si>
    <t>67,45</t>
  </si>
  <si>
    <t>Максемьюк Дмитрий</t>
  </si>
  <si>
    <t>Открытая (04.06.1993)/26</t>
  </si>
  <si>
    <t>Петрук Александр</t>
  </si>
  <si>
    <t>Открытая (18.09.1978)/41</t>
  </si>
  <si>
    <t>69,90</t>
  </si>
  <si>
    <t>Алимов Абдулсемед</t>
  </si>
  <si>
    <t>Мастера 40-49 (18.09.1978)/41</t>
  </si>
  <si>
    <t>Юниоры 20-23 (18.09.1997)/22</t>
  </si>
  <si>
    <t>Жвирко Василий</t>
  </si>
  <si>
    <t>Открытая (05.09.1976)/43</t>
  </si>
  <si>
    <t>77,20</t>
  </si>
  <si>
    <t>Масленников Александр</t>
  </si>
  <si>
    <t>Открытая (18.07.1988)/31</t>
  </si>
  <si>
    <t xml:space="preserve">Остапенко И. </t>
  </si>
  <si>
    <t>Мастера 40-49 (05.09.1976)/43</t>
  </si>
  <si>
    <t>Юниоры 20-23 (03.04.1996)/23</t>
  </si>
  <si>
    <t>Галицин Геннадий</t>
  </si>
  <si>
    <t>Открытая (15.04.1985)/34</t>
  </si>
  <si>
    <t>85,00</t>
  </si>
  <si>
    <t xml:space="preserve"> KAZ/Алматы</t>
  </si>
  <si>
    <t>Талдыкин Алексей</t>
  </si>
  <si>
    <t>Открытая (29.03.1980)/39</t>
  </si>
  <si>
    <t>Кулиев Фейруз</t>
  </si>
  <si>
    <t>Открытая (09.03.1987)/32</t>
  </si>
  <si>
    <t>Парфенов Павел</t>
  </si>
  <si>
    <t>Открытая (05.10.1989)/30</t>
  </si>
  <si>
    <t>84,70</t>
  </si>
  <si>
    <t>Зимонин Дмитрий</t>
  </si>
  <si>
    <t>Открытая (28.01.1997)/22</t>
  </si>
  <si>
    <t>Анфилов Александр</t>
  </si>
  <si>
    <t>Мастера 40-49 (17.02.1972)/47</t>
  </si>
  <si>
    <t>89,45</t>
  </si>
  <si>
    <t xml:space="preserve">Тихонов А. </t>
  </si>
  <si>
    <t>Рассказов Геннадий</t>
  </si>
  <si>
    <t>Мастера 50-59 (04.09.1966)/53</t>
  </si>
  <si>
    <t>Мастера 60+ (15.06.1954)/65</t>
  </si>
  <si>
    <t>Мастера 60+ (12.08.1955)/64</t>
  </si>
  <si>
    <t>Мартыненко Алексей</t>
  </si>
  <si>
    <t>Открытая (05.08.1987)/32</t>
  </si>
  <si>
    <t xml:space="preserve">RUS/Шелехов </t>
  </si>
  <si>
    <t>Немчинов Александр</t>
  </si>
  <si>
    <t>Открытая (03.01.1979)/40</t>
  </si>
  <si>
    <t>Сухопаров Сергей</t>
  </si>
  <si>
    <t>Открытая (15.11.1981)/38</t>
  </si>
  <si>
    <t>Полунин Сергей</t>
  </si>
  <si>
    <t>Открытая (11.07.1990)/29</t>
  </si>
  <si>
    <t>Мастера 40-49 (03.01.1979)/40</t>
  </si>
  <si>
    <t>Ковалев Алексей</t>
  </si>
  <si>
    <t>Мастера 40-49 (16.10.1977)/42</t>
  </si>
  <si>
    <t xml:space="preserve"> BLR/Гомель</t>
  </si>
  <si>
    <t>Юниоры 20-23 (03.11.1997)/22</t>
  </si>
  <si>
    <t>RUS/Великий Устюг</t>
  </si>
  <si>
    <t>Бардин Владимир</t>
  </si>
  <si>
    <t>Открытая (13.01.1985)/34</t>
  </si>
  <si>
    <t>102,00</t>
  </si>
  <si>
    <t>Смыченко Константин</t>
  </si>
  <si>
    <t>Открытая (07.09.1983)/36</t>
  </si>
  <si>
    <t>100,20</t>
  </si>
  <si>
    <t xml:space="preserve">RUS/Гулькевичи </t>
  </si>
  <si>
    <t>Юноши 13-19 (04.06.2000)/19</t>
  </si>
  <si>
    <t>117,20</t>
  </si>
  <si>
    <t>Милованов Сергей</t>
  </si>
  <si>
    <t>Мастера 40-49 (14.09.1973)/46</t>
  </si>
  <si>
    <t>114,60</t>
  </si>
  <si>
    <t>Мастера 60+ (09.02.1954)/65</t>
  </si>
  <si>
    <t>Ребко Анатолий</t>
  </si>
  <si>
    <t>Открытая (04.02.1975)/44</t>
  </si>
  <si>
    <t>136,70</t>
  </si>
  <si>
    <t>127,70</t>
  </si>
  <si>
    <t>Халапов Авазбек</t>
  </si>
  <si>
    <t>Открытая (03.04.1983)/36</t>
  </si>
  <si>
    <t>125,50</t>
  </si>
  <si>
    <t>6517,5</t>
  </si>
  <si>
    <t>4217,8000</t>
  </si>
  <si>
    <t>5600,0</t>
  </si>
  <si>
    <t>4095,5600</t>
  </si>
  <si>
    <t>5637,5</t>
  </si>
  <si>
    <t>3251,1461</t>
  </si>
  <si>
    <t>Весовая ктегория</t>
  </si>
  <si>
    <t>4950,0</t>
  </si>
  <si>
    <t>3592,6703</t>
  </si>
  <si>
    <t>4600,0</t>
  </si>
  <si>
    <t>2683,1800</t>
  </si>
  <si>
    <t>V Чемпионат мира WRPF
WRPF Народный жим 1/2 веса ДК
Москва, 4 - 8 декабря 2019 года</t>
  </si>
  <si>
    <t>Телегина Любовь</t>
  </si>
  <si>
    <t>Открытая (05.08.1985)/34</t>
  </si>
  <si>
    <t xml:space="preserve">Телегин А. </t>
  </si>
  <si>
    <t>Филиппова Оксана</t>
  </si>
  <si>
    <t>Мастера 40-49 (10.09.1975)/44</t>
  </si>
  <si>
    <t>54,90</t>
  </si>
  <si>
    <t>27,5</t>
  </si>
  <si>
    <t>Девушки 13-19 (21.01.2002)/17</t>
  </si>
  <si>
    <t>57,30</t>
  </si>
  <si>
    <t>Герасимов Никита</t>
  </si>
  <si>
    <t>Юноши 13-19 (09.03.2004)/15</t>
  </si>
  <si>
    <t>Лось Александр</t>
  </si>
  <si>
    <t>Юноши 13-19 (15.12.2003)/15</t>
  </si>
  <si>
    <t xml:space="preserve">Медведев К. </t>
  </si>
  <si>
    <t>Березко Андрей</t>
  </si>
  <si>
    <t>Юноши 13-19 (19.02.2002)/17</t>
  </si>
  <si>
    <t xml:space="preserve">Акентьев В. </t>
  </si>
  <si>
    <t>Борзаков Сергей</t>
  </si>
  <si>
    <t>Юноши 13-19 (27.12.2001)/17</t>
  </si>
  <si>
    <t xml:space="preserve">Воронин Д. </t>
  </si>
  <si>
    <t>Мастера 60+ (14.11.1954)/65</t>
  </si>
  <si>
    <t>Мастера 60+ (13.03.1958)/61</t>
  </si>
  <si>
    <t>V Чемпионат мира WRPF
WRPF Народный жим 1/2 веса
Москва, 4 - 8 декабря 2019 года</t>
  </si>
  <si>
    <t>Гаврилова Вера</t>
  </si>
  <si>
    <t>Открытая (27.09.1987)/32</t>
  </si>
  <si>
    <t>53,40</t>
  </si>
  <si>
    <t>Балашова Елена</t>
  </si>
  <si>
    <t>Открытая (01.09.1979)/40</t>
  </si>
  <si>
    <t>58,70</t>
  </si>
  <si>
    <t>Мастера 40-49 (01.09.1979)/40</t>
  </si>
  <si>
    <t>Макаров Алексей</t>
  </si>
  <si>
    <t>Юноши 13-19 (22.11.2006)/13</t>
  </si>
  <si>
    <t>57,10</t>
  </si>
  <si>
    <t>Добржанский Вячеслав</t>
  </si>
  <si>
    <t>Мастера 60+ (21.02.1934)/85</t>
  </si>
  <si>
    <t>Моор Альберт</t>
  </si>
  <si>
    <t>Мастера 60+ (03.07.1950)/69</t>
  </si>
  <si>
    <t xml:space="preserve">Шевченко А. </t>
  </si>
  <si>
    <t>Салов Павел</t>
  </si>
  <si>
    <t>Мастера 60+ (11.08.1954)/65</t>
  </si>
  <si>
    <t xml:space="preserve"> RUS/Иваново</t>
  </si>
  <si>
    <t xml:space="preserve">Ковалев С. </t>
  </si>
  <si>
    <t>Козлов Валентин</t>
  </si>
  <si>
    <t>Мастера 60+ (08.08.1943)/76</t>
  </si>
  <si>
    <t>77,30</t>
  </si>
  <si>
    <t>Варанкин Сергей</t>
  </si>
  <si>
    <t>Мастера 60+ (30.06.1957)/62</t>
  </si>
  <si>
    <t>Чанцев Виктор</t>
  </si>
  <si>
    <t>Мастера 60+ (02.09.1957)/62</t>
  </si>
  <si>
    <t>82,70</t>
  </si>
  <si>
    <t>Цыбряев Александр</t>
  </si>
  <si>
    <t>Мастера 60+ (18.06.1958)/61</t>
  </si>
  <si>
    <t>93,70</t>
  </si>
  <si>
    <t>Гаршин Александр</t>
  </si>
  <si>
    <t>Мастера 60+ (29.06.1954)/65</t>
  </si>
  <si>
    <t>Мастера 60+ (05.04.1958)/61</t>
  </si>
  <si>
    <t>7000,0</t>
  </si>
  <si>
    <t>7664,2651</t>
  </si>
  <si>
    <t>6440,0</t>
  </si>
  <si>
    <t>6280,5840</t>
  </si>
  <si>
    <t>3705,0</t>
  </si>
  <si>
    <t>3031,5569</t>
  </si>
  <si>
    <t>V Чемпионат мира WRPF
WRPF Жим лежа СФО
Москва, 4 - 8 декабря 2019 года</t>
  </si>
  <si>
    <t>Мерзон Ева</t>
  </si>
  <si>
    <t>46,90</t>
  </si>
  <si>
    <t>Пучкова Наталья</t>
  </si>
  <si>
    <t>Открытая (25.03.1985)/34</t>
  </si>
  <si>
    <t>Пеганов Ю.</t>
  </si>
  <si>
    <t>Новикова Лилия</t>
  </si>
  <si>
    <t>Мастера 50-59 (20.08.1964)/55</t>
  </si>
  <si>
    <t>68,50</t>
  </si>
  <si>
    <t xml:space="preserve">RUS/Родники </t>
  </si>
  <si>
    <t xml:space="preserve">Ковалёв С. </t>
  </si>
  <si>
    <t>Зайцева Таисья</t>
  </si>
  <si>
    <t>Мастера 70-79 (30.08.1947)/72</t>
  </si>
  <si>
    <t xml:space="preserve">RUS/Вичуга </t>
  </si>
  <si>
    <t>Ковалёв С.</t>
  </si>
  <si>
    <t>Елисеева Евгения</t>
  </si>
  <si>
    <t>76,50</t>
  </si>
  <si>
    <t xml:space="preserve">Пеганов Ю. </t>
  </si>
  <si>
    <t>Маева Татьяна</t>
  </si>
  <si>
    <t>Мастера 60-69 (05.07.1958)/61</t>
  </si>
  <si>
    <t>86,20</t>
  </si>
  <si>
    <t>Корнилов Евгений</t>
  </si>
  <si>
    <t>Открытая (14.03.1993)/26</t>
  </si>
  <si>
    <t>32,90</t>
  </si>
  <si>
    <t>Лощинин Григорий</t>
  </si>
  <si>
    <t>Открытая (05.05.1992)/27</t>
  </si>
  <si>
    <t>55,80</t>
  </si>
  <si>
    <t xml:space="preserve">Силушин П. </t>
  </si>
  <si>
    <t>Лебедев Александр</t>
  </si>
  <si>
    <t>Юниоры 20-23 (01.03.1997)/22</t>
  </si>
  <si>
    <t xml:space="preserve">RUS/Наро-Фоминск </t>
  </si>
  <si>
    <t xml:space="preserve">Артамонов В. </t>
  </si>
  <si>
    <t>Косарев Евгений</t>
  </si>
  <si>
    <t>Мастера 50-59 (29.03.1961)/58</t>
  </si>
  <si>
    <t>64,40</t>
  </si>
  <si>
    <t xml:space="preserve"> RUS/Иваново </t>
  </si>
  <si>
    <t>Ковалев С.</t>
  </si>
  <si>
    <t>Горев Николай</t>
  </si>
  <si>
    <t>Мастера 60-69 (15.03.1950)/69</t>
  </si>
  <si>
    <t>66,10</t>
  </si>
  <si>
    <t xml:space="preserve">RUS/Фурманов </t>
  </si>
  <si>
    <t>Шеремет Владимир</t>
  </si>
  <si>
    <t>Открытая (02.11.1982)/37</t>
  </si>
  <si>
    <t>68,90</t>
  </si>
  <si>
    <t xml:space="preserve">Гузев П. </t>
  </si>
  <si>
    <t>Пачин Алексей</t>
  </si>
  <si>
    <t>Мастера 40-49 (02.03.1979)/40</t>
  </si>
  <si>
    <t>Иргит Сухраб</t>
  </si>
  <si>
    <t>Юниоры 20-23 (20.01.1999)/20</t>
  </si>
  <si>
    <t xml:space="preserve">Минов М. </t>
  </si>
  <si>
    <t>Дюбкин Сергей</t>
  </si>
  <si>
    <t>Открытая (03.03.1982)/37</t>
  </si>
  <si>
    <t>Открытая (20.01.1999)/20</t>
  </si>
  <si>
    <t>Петрокович Николай</t>
  </si>
  <si>
    <t>Мастера 40-49 (17.08.1979)/40</t>
  </si>
  <si>
    <t>79,70</t>
  </si>
  <si>
    <t>Гвоздев Георгий</t>
  </si>
  <si>
    <t>Мастера 60-69 (26.04.1959)/60</t>
  </si>
  <si>
    <t>75,80</t>
  </si>
  <si>
    <t xml:space="preserve">  RUS/Иваново </t>
  </si>
  <si>
    <t>Аркадьев Анатолий</t>
  </si>
  <si>
    <t>Мастера 60-69 (17.08.1954)/65</t>
  </si>
  <si>
    <t>Angel Morris</t>
  </si>
  <si>
    <t>Мастера 50-59 (08.02.1964)/55</t>
  </si>
  <si>
    <t xml:space="preserve">USA/Loganville </t>
  </si>
  <si>
    <t>Пенько Константин</t>
  </si>
  <si>
    <t>Мастера 50-59 (10.05.1962)/57</t>
  </si>
  <si>
    <t>Соколов Сергей</t>
  </si>
  <si>
    <t>Мастера 60-69 (12.03.1951)/68</t>
  </si>
  <si>
    <t xml:space="preserve">RUS/Пучеж </t>
  </si>
  <si>
    <t>Шморгун Игорь</t>
  </si>
  <si>
    <t>Открытая (12.01.1983)/36</t>
  </si>
  <si>
    <t>93,10</t>
  </si>
  <si>
    <t>Пурышев Иван</t>
  </si>
  <si>
    <t>Открытая (03.05.1980)/39</t>
  </si>
  <si>
    <t>Ковалев Сергей</t>
  </si>
  <si>
    <t>Мастера 50-59 (22.05.1969)/50</t>
  </si>
  <si>
    <t>Аристов Олег</t>
  </si>
  <si>
    <t>Мастера 60-69 (08.03.1954)/65</t>
  </si>
  <si>
    <t xml:space="preserve">RUS/Кохма </t>
  </si>
  <si>
    <t>Макаренко Константин</t>
  </si>
  <si>
    <t>Мастера 40-49 (03.02.1973)/46</t>
  </si>
  <si>
    <t>Бердников Николай</t>
  </si>
  <si>
    <t>Мастера 50-59 (02.12.1961)/58</t>
  </si>
  <si>
    <t>105,30</t>
  </si>
  <si>
    <t xml:space="preserve">Круглов С. </t>
  </si>
  <si>
    <t>106,2048</t>
  </si>
  <si>
    <t>103,1757</t>
  </si>
  <si>
    <t>103,1602</t>
  </si>
  <si>
    <t>V Чемпионат мира WRPF
WRPF любители Становая тяга без экипировки ДК
Москва, 4 - 8 декабря 2019 года</t>
  </si>
  <si>
    <t>Никонорова Дарья</t>
  </si>
  <si>
    <t>Девушки 17-19 (11.02.2000)/19</t>
  </si>
  <si>
    <t xml:space="preserve">Коноваленко А. </t>
  </si>
  <si>
    <t>Кафтанова Юлия</t>
  </si>
  <si>
    <t>Юниорки (13.02.1996)/23</t>
  </si>
  <si>
    <t>Земцова Ирина</t>
  </si>
  <si>
    <t>Открытая (28.12.1981)/37</t>
  </si>
  <si>
    <t>50,90</t>
  </si>
  <si>
    <t xml:space="preserve">Агафонов Д. </t>
  </si>
  <si>
    <t>Джанполадова Татьяна</t>
  </si>
  <si>
    <t>50,70</t>
  </si>
  <si>
    <t>Ступников Р.</t>
  </si>
  <si>
    <t>Герман Юлия</t>
  </si>
  <si>
    <t>Открытая (28.12.1992)/26</t>
  </si>
  <si>
    <t>50,50</t>
  </si>
  <si>
    <t xml:space="preserve">Воробьев М. </t>
  </si>
  <si>
    <t>Удалова Юлия</t>
  </si>
  <si>
    <t>49,00</t>
  </si>
  <si>
    <t>Рыжикова Ольга</t>
  </si>
  <si>
    <t>Открытая (25.07.1975)/44</t>
  </si>
  <si>
    <t xml:space="preserve">Рэй Д. </t>
  </si>
  <si>
    <t>Лаврентьева Ирина</t>
  </si>
  <si>
    <t>Открытая (08.04.1991)/28</t>
  </si>
  <si>
    <t xml:space="preserve">Шкель Д. </t>
  </si>
  <si>
    <t>Стамо Анна</t>
  </si>
  <si>
    <t>Открытая (10.04.1982)/37</t>
  </si>
  <si>
    <t xml:space="preserve">RUS/Красногорск </t>
  </si>
  <si>
    <t xml:space="preserve">Кравченко Е. </t>
  </si>
  <si>
    <t>Мастера 40-49 (25.07.1975)/44</t>
  </si>
  <si>
    <t>Тихомирова Ксения</t>
  </si>
  <si>
    <t>Девушки 17-19 (29.07.2000)/19</t>
  </si>
  <si>
    <t xml:space="preserve">Тихомиров М. </t>
  </si>
  <si>
    <t>Юниорки (08.08.1999)/20</t>
  </si>
  <si>
    <t>Fischer Michelle</t>
  </si>
  <si>
    <t>Открытая (21.04.1995)/24</t>
  </si>
  <si>
    <t xml:space="preserve">AUT/Oberndorf </t>
  </si>
  <si>
    <t xml:space="preserve">Groiss J. </t>
  </si>
  <si>
    <t>Нечаева Дарья</t>
  </si>
  <si>
    <t>Юниорки (02.07.1996)/23</t>
  </si>
  <si>
    <t>62,60</t>
  </si>
  <si>
    <t>Курбанова Адиля</t>
  </si>
  <si>
    <t>Открытая (19.04.1990)/29</t>
  </si>
  <si>
    <t xml:space="preserve">Агаев Т. </t>
  </si>
  <si>
    <t>Мамедова Гюльнар</t>
  </si>
  <si>
    <t>65,30</t>
  </si>
  <si>
    <t>Лосева Ирина</t>
  </si>
  <si>
    <t>Мастера 40-49 (27.08.1976)/43</t>
  </si>
  <si>
    <t xml:space="preserve">Дьячков А. </t>
  </si>
  <si>
    <t>Григоровская Екатерина</t>
  </si>
  <si>
    <t>Мастера 50-59 (01.09.1969)/50</t>
  </si>
  <si>
    <t>65,80</t>
  </si>
  <si>
    <t>Мусаева Динара</t>
  </si>
  <si>
    <t>Открытая (20.07.1980)/39</t>
  </si>
  <si>
    <t>Mammadli Asmayl</t>
  </si>
  <si>
    <t>Юниорки (24.12.1996)/22</t>
  </si>
  <si>
    <t>78,40</t>
  </si>
  <si>
    <t>Aliyev N.</t>
  </si>
  <si>
    <t>Родионова Мария</t>
  </si>
  <si>
    <t>Открытая (15.08.1976)/43</t>
  </si>
  <si>
    <t xml:space="preserve">Мельников С. </t>
  </si>
  <si>
    <t>Мастера 40-49 (15.08.1976)/43</t>
  </si>
  <si>
    <t>Яловой Станислав</t>
  </si>
  <si>
    <t>Юноши 17-19 (23.07.2002)/17</t>
  </si>
  <si>
    <t>57,80</t>
  </si>
  <si>
    <t xml:space="preserve">KAZ/Тараз </t>
  </si>
  <si>
    <t>Открытая (18.02.1997)/22</t>
  </si>
  <si>
    <t>Открытая (23.07.2002)/17</t>
  </si>
  <si>
    <t>Маслаков Сергей</t>
  </si>
  <si>
    <t>Юноши 17-19 (23.06.2000)/19</t>
  </si>
  <si>
    <t xml:space="preserve">Холодов С. </t>
  </si>
  <si>
    <t>Меньщиков Константин</t>
  </si>
  <si>
    <t>Юноши 17-19 (01.06.2002)/17</t>
  </si>
  <si>
    <t>Шубин Александр</t>
  </si>
  <si>
    <t>Открытая (22.04.1994)/25</t>
  </si>
  <si>
    <t xml:space="preserve">Богачев И. </t>
  </si>
  <si>
    <t>Крыжановский Станислав</t>
  </si>
  <si>
    <t>Открытая (02.02.1985)/34</t>
  </si>
  <si>
    <t>Ахметзянов Галимжан</t>
  </si>
  <si>
    <t>Мастера 60-69 (29.10.1952)/67</t>
  </si>
  <si>
    <t>Юноши 17-19 (19.02.2002)/17</t>
  </si>
  <si>
    <t>Куликов Никита</t>
  </si>
  <si>
    <t>Юноши 17-19 (01.10.2001)/18</t>
  </si>
  <si>
    <t>Тагиров Магомедрасул</t>
  </si>
  <si>
    <t>Юниоры (03.06.1997)/22</t>
  </si>
  <si>
    <t xml:space="preserve">  RUS/Махачкала</t>
  </si>
  <si>
    <t>Чернов Андрей</t>
  </si>
  <si>
    <t>Открытая (06.12.1981)/37</t>
  </si>
  <si>
    <t>Степанец Алексей</t>
  </si>
  <si>
    <t>Открытая (11.06.1991)/28</t>
  </si>
  <si>
    <t xml:space="preserve">RUS/Нытва </t>
  </si>
  <si>
    <t>Розеншейн Вячеслав</t>
  </si>
  <si>
    <t>Открытая (26.06.1985)/34</t>
  </si>
  <si>
    <t xml:space="preserve">RUS/Сестрорецк </t>
  </si>
  <si>
    <t>Чернов Владимир</t>
  </si>
  <si>
    <t>Открытая (30.01.1990)/29</t>
  </si>
  <si>
    <t>Брежнев Андрей</t>
  </si>
  <si>
    <t>Открытая (10.06.1984)/35</t>
  </si>
  <si>
    <t>Иванов Ростислав</t>
  </si>
  <si>
    <t>Открытая (19.10.1988)/31</t>
  </si>
  <si>
    <t>RUS/Железнодорожный</t>
  </si>
  <si>
    <t xml:space="preserve">Горбачев П. </t>
  </si>
  <si>
    <t>Григорьян Илья</t>
  </si>
  <si>
    <t>Открытая (30.05.1994)/25</t>
  </si>
  <si>
    <t xml:space="preserve">RUS/Каменск-Уральский </t>
  </si>
  <si>
    <t xml:space="preserve">Степанец А. </t>
  </si>
  <si>
    <t>Щемелев Владимир</t>
  </si>
  <si>
    <t>Мастера 50-59 (02.04.1961)/58</t>
  </si>
  <si>
    <t>Скалозубов Сергей</t>
  </si>
  <si>
    <t>Юниоры (27.05.1996)/23</t>
  </si>
  <si>
    <t>Айсаев Мухтар</t>
  </si>
  <si>
    <t>Юниоры (21.01.1998)/21</t>
  </si>
  <si>
    <t>77,60</t>
  </si>
  <si>
    <t xml:space="preserve">RUS/Сафоново </t>
  </si>
  <si>
    <t>Кузнецов Григорий</t>
  </si>
  <si>
    <t>Юниоры (06.01.1997)/22</t>
  </si>
  <si>
    <t>Шахов Сергей</t>
  </si>
  <si>
    <t>Открытая (13.06.1987)/32</t>
  </si>
  <si>
    <t>MDA/Томай</t>
  </si>
  <si>
    <t>Четин Илья</t>
  </si>
  <si>
    <t>Открытая (06.09.1991)/28</t>
  </si>
  <si>
    <t>77,10</t>
  </si>
  <si>
    <t>Игнаткин Иван</t>
  </si>
  <si>
    <t>Открытая (14.11.1991)/28</t>
  </si>
  <si>
    <t xml:space="preserve">Симкин А. </t>
  </si>
  <si>
    <t>Вишняков Дмитрий</t>
  </si>
  <si>
    <t>Открытая (20.03.1983)/36</t>
  </si>
  <si>
    <t xml:space="preserve"> RUS/Ноябрьск</t>
  </si>
  <si>
    <t>0,0</t>
  </si>
  <si>
    <t>Саидов Миразор</t>
  </si>
  <si>
    <t>Юниоры (08.08.1998)/21</t>
  </si>
  <si>
    <t>MDA/Ocnita</t>
  </si>
  <si>
    <t>Даниелян Арман</t>
  </si>
  <si>
    <t>Юниоры (20.01.1997)/22</t>
  </si>
  <si>
    <t>Беловал Е.</t>
  </si>
  <si>
    <t>Киреев Александр</t>
  </si>
  <si>
    <t>Открытая (25.07.1992)/27</t>
  </si>
  <si>
    <t>Курбала Алексей</t>
  </si>
  <si>
    <t>Открытая (18.02.1983)/36</t>
  </si>
  <si>
    <t>Донской Антон</t>
  </si>
  <si>
    <t>Открытая (21.10.1992)/27</t>
  </si>
  <si>
    <t>Горьков Сергей</t>
  </si>
  <si>
    <t>Открытая (06.03.1991)/28</t>
  </si>
  <si>
    <t>83,30</t>
  </si>
  <si>
    <t>RUS/Дедовск</t>
  </si>
  <si>
    <t>Амплеев Александр</t>
  </si>
  <si>
    <t>Открытая (20.05.1983)/36</t>
  </si>
  <si>
    <t>86,30</t>
  </si>
  <si>
    <t>Авинов Юрий</t>
  </si>
  <si>
    <t>Мастера 40-49 (24.12.1973)/45</t>
  </si>
  <si>
    <t>Зайцев Вадим</t>
  </si>
  <si>
    <t>Мастера 50-59 (26.08.1960)/59</t>
  </si>
  <si>
    <t>Островский Геннадий</t>
  </si>
  <si>
    <t>Мастера 50-59 (08.01.1965)/54</t>
  </si>
  <si>
    <t>Середа Андрей</t>
  </si>
  <si>
    <t>Мастера 50-59 (30.09.1965)/54</t>
  </si>
  <si>
    <t xml:space="preserve">Долгих А. </t>
  </si>
  <si>
    <t>Акшенцев Анатолий</t>
  </si>
  <si>
    <t>Мастера 60-69 (05.09.1956)/63</t>
  </si>
  <si>
    <t>Кобозев Николай</t>
  </si>
  <si>
    <t>Мастера 60-69 (05.12.1957)/62</t>
  </si>
  <si>
    <t xml:space="preserve">RUS/Стародуб </t>
  </si>
  <si>
    <t>Сорокин Никита</t>
  </si>
  <si>
    <t>Юноши 17-19 (30.03.2000)/19</t>
  </si>
  <si>
    <t>Крупка Сергей</t>
  </si>
  <si>
    <t>Юноши 17-19 (08.11.2000)/19</t>
  </si>
  <si>
    <t>93,00</t>
  </si>
  <si>
    <t>Мамедяров А.</t>
  </si>
  <si>
    <t>Барановский Артём</t>
  </si>
  <si>
    <t>Юниоры (31.12.1995)/23</t>
  </si>
  <si>
    <t>Нахаев Нариман</t>
  </si>
  <si>
    <t>Открытая (20.08.1994)/25</t>
  </si>
  <si>
    <t>92,60</t>
  </si>
  <si>
    <t xml:space="preserve">RUS/Гудермес </t>
  </si>
  <si>
    <t xml:space="preserve">Алсултанов А. </t>
  </si>
  <si>
    <t>Алафсарли Шамхал</t>
  </si>
  <si>
    <t>Открытая (23.02.1994)/25</t>
  </si>
  <si>
    <t>Шляхитский Александр</t>
  </si>
  <si>
    <t>Открытая (09.02.1980)/39</t>
  </si>
  <si>
    <t>RUS/Спасское</t>
  </si>
  <si>
    <t>Сайфулин Александр</t>
  </si>
  <si>
    <t>Открытая (22.12.1993)/25</t>
  </si>
  <si>
    <t xml:space="preserve">Сайфулина Н. </t>
  </si>
  <si>
    <t>Кулагин Дмитрий</t>
  </si>
  <si>
    <t>Открытая (07.06.1989)/30</t>
  </si>
  <si>
    <t>Бинтов Артем</t>
  </si>
  <si>
    <t>Открытая (21.07.1993)/26</t>
  </si>
  <si>
    <t>Ефимов Сергей</t>
  </si>
  <si>
    <t>Мастера 40-49 (19.08.1974)/45</t>
  </si>
  <si>
    <t>Васильев Станислав</t>
  </si>
  <si>
    <t>Юниоры (18.11.1997)/22</t>
  </si>
  <si>
    <t>105,50</t>
  </si>
  <si>
    <t>Суржиков Владислав</t>
  </si>
  <si>
    <t>Юниоры (10.02.1999)/20</t>
  </si>
  <si>
    <t>Шеховцов Артём</t>
  </si>
  <si>
    <t>Открытая (25.01.1985)/34</t>
  </si>
  <si>
    <t>Холодов Сергей</t>
  </si>
  <si>
    <t>Открытая (08.07.1989)/30</t>
  </si>
  <si>
    <t>Монахов Евгений</t>
  </si>
  <si>
    <t>Открытая (23.11.1972)/47</t>
  </si>
  <si>
    <t xml:space="preserve">RUS/Клин </t>
  </si>
  <si>
    <t>Серегин Константин</t>
  </si>
  <si>
    <t>Мастера 40-49 (19.01.1978)/41</t>
  </si>
  <si>
    <t>Владимиров Е.</t>
  </si>
  <si>
    <t>Гринько Михаил</t>
  </si>
  <si>
    <t>Мастера 40-49 (04.02.1978)/41</t>
  </si>
  <si>
    <t>103,00</t>
  </si>
  <si>
    <t xml:space="preserve"> RUS/Солнечногорск</t>
  </si>
  <si>
    <t>Шустров Алексей</t>
  </si>
  <si>
    <t>Мастера 40-49 (01.09.1976)/43</t>
  </si>
  <si>
    <t>Мастера 40-49 (23.11.1972)/47</t>
  </si>
  <si>
    <t>Тарасов Алексей</t>
  </si>
  <si>
    <t>Юниоры (15.06.1996)/23</t>
  </si>
  <si>
    <t>Василинич Дмитрий</t>
  </si>
  <si>
    <t>Открытая (09.07.1984)/35</t>
  </si>
  <si>
    <t>Решетников А.</t>
  </si>
  <si>
    <t>Чернышов Владимир</t>
  </si>
  <si>
    <t>Мастера 70-79 (06.09.1948)/71</t>
  </si>
  <si>
    <t>113,50</t>
  </si>
  <si>
    <t>Воробьев Сергей</t>
  </si>
  <si>
    <t>Мастера 40-49 (25.05.1974)/45</t>
  </si>
  <si>
    <t xml:space="preserve">RUS/Можайск </t>
  </si>
  <si>
    <t>200,9600</t>
  </si>
  <si>
    <t>194,1390</t>
  </si>
  <si>
    <t>183,7585</t>
  </si>
  <si>
    <t>195,1097</t>
  </si>
  <si>
    <t>188,2175</t>
  </si>
  <si>
    <t>178,3455</t>
  </si>
  <si>
    <t>154,5250</t>
  </si>
  <si>
    <t>149,8450</t>
  </si>
  <si>
    <t>148,5120</t>
  </si>
  <si>
    <t>174,4485</t>
  </si>
  <si>
    <t>169,3500</t>
  </si>
  <si>
    <t>163,6305</t>
  </si>
  <si>
    <t>216,2000</t>
  </si>
  <si>
    <t>209,8480</t>
  </si>
  <si>
    <t>202,8067</t>
  </si>
  <si>
    <t>243,5026</t>
  </si>
  <si>
    <t>231,9834</t>
  </si>
  <si>
    <t>228,2993</t>
  </si>
  <si>
    <t>V Чемпионат мира WRPF
WRPF любители Становая тяга без экипировки
Москва, 4 - 8 декабря 2019 года</t>
  </si>
  <si>
    <t>Горбачева Марина</t>
  </si>
  <si>
    <t>Открытая (12.02.1983)/36</t>
  </si>
  <si>
    <t>180,5</t>
  </si>
  <si>
    <t xml:space="preserve">Козлов А. </t>
  </si>
  <si>
    <t>Гапошкина Марина</t>
  </si>
  <si>
    <t>Открытая (13.05.1994)/25</t>
  </si>
  <si>
    <t xml:space="preserve"> RUS/Комсомольск-на-Амуре</t>
  </si>
  <si>
    <t xml:space="preserve">Белецкий Е. </t>
  </si>
  <si>
    <t>Галактионова Маргарита</t>
  </si>
  <si>
    <t>Открытая (01.03.1991)/28</t>
  </si>
  <si>
    <t>Радюк Анна</t>
  </si>
  <si>
    <t>Открытая (22.01.1993)/26</t>
  </si>
  <si>
    <t>Филимонова Екатерина</t>
  </si>
  <si>
    <t>Открытая (19.05.1984)/35</t>
  </si>
  <si>
    <t xml:space="preserve">Соловьев А. </t>
  </si>
  <si>
    <t>Велиал Ника</t>
  </si>
  <si>
    <t>Открытая (25.11.1992)/27</t>
  </si>
  <si>
    <t>Аглиуллина Гульчачак</t>
  </si>
  <si>
    <t>Открытая (14.08.1983)/36</t>
  </si>
  <si>
    <t>Nehezova Eliska</t>
  </si>
  <si>
    <t>Девушки 17-19 (15.06.2002)/17</t>
  </si>
  <si>
    <t>71,60</t>
  </si>
  <si>
    <t xml:space="preserve">SVK/Banska Bystrica </t>
  </si>
  <si>
    <t xml:space="preserve">Repisky K. </t>
  </si>
  <si>
    <t>Vogelsang Laura</t>
  </si>
  <si>
    <t>Открытая (11.09.1990)/29</t>
  </si>
  <si>
    <t>ВЕСОВАЯ КАТЕГОРИЯ   90+</t>
  </si>
  <si>
    <t>Цыплова Ольга</t>
  </si>
  <si>
    <t>Открытая (19.11.1975)/44</t>
  </si>
  <si>
    <t>92,00</t>
  </si>
  <si>
    <t>Poorebrahimabadi Mojtaba</t>
  </si>
  <si>
    <t>Юноши 14-16 (11.02.2003)/16</t>
  </si>
  <si>
    <t>62,40</t>
  </si>
  <si>
    <t>Сабиров Бахромжон</t>
  </si>
  <si>
    <t>Юниоры (15.07.1999)/20</t>
  </si>
  <si>
    <t>Mejdunov Tacir</t>
  </si>
  <si>
    <t>Юниоры (14.05.1998)/21</t>
  </si>
  <si>
    <t>66,90</t>
  </si>
  <si>
    <t xml:space="preserve">Mustafayev A. </t>
  </si>
  <si>
    <t>Открытая (14.05.1998)/21</t>
  </si>
  <si>
    <t>Дамбинов Александр</t>
  </si>
  <si>
    <t>Мастера 80+ (12.03.1936)/83</t>
  </si>
  <si>
    <t xml:space="preserve">RUS/Элиста </t>
  </si>
  <si>
    <t xml:space="preserve">  AZE/Баку </t>
  </si>
  <si>
    <t>Обухов Ф.</t>
  </si>
  <si>
    <t>Пономарев Иван</t>
  </si>
  <si>
    <t>Открытая (30.06.1988)/31</t>
  </si>
  <si>
    <t>Штефан Илья</t>
  </si>
  <si>
    <t>Жидков Дмитрий</t>
  </si>
  <si>
    <t>Мастера 50-59 (07.04.1967)/52</t>
  </si>
  <si>
    <t xml:space="preserve">Банасинский С. </t>
  </si>
  <si>
    <t>Зубков Павел</t>
  </si>
  <si>
    <t>Открытая (22.12.1985)/33</t>
  </si>
  <si>
    <t>Томилов Игорь</t>
  </si>
  <si>
    <t>Открытая (21.01.1989)/30</t>
  </si>
  <si>
    <t>Головкин В.</t>
  </si>
  <si>
    <t>Камилов Садиг</t>
  </si>
  <si>
    <t>Открытая (07.07.1989)/30</t>
  </si>
  <si>
    <t>Ахмедов Роман</t>
  </si>
  <si>
    <t>Открытая (13.02.1985)/34</t>
  </si>
  <si>
    <t>Жидков Андрей</t>
  </si>
  <si>
    <t>Мастера 50-59 (24.07.1961)/58</t>
  </si>
  <si>
    <t xml:space="preserve"> RUS/Южно-Сахалинск</t>
  </si>
  <si>
    <t>Банасинский Сергей</t>
  </si>
  <si>
    <t>Мастера 70-79 (16.10.1948)/71</t>
  </si>
  <si>
    <t>Открытая (15.11.1991)/28</t>
  </si>
  <si>
    <t xml:space="preserve">Hafiz V. </t>
  </si>
  <si>
    <t>Азизмамадов Константин</t>
  </si>
  <si>
    <t>Открытая (17.03.1985)/34</t>
  </si>
  <si>
    <t>Колосков Борис</t>
  </si>
  <si>
    <t>Открытая (27.06.1986)/33</t>
  </si>
  <si>
    <t>Orang Mahdi</t>
  </si>
  <si>
    <t xml:space="preserve">Asadzadeh J. </t>
  </si>
  <si>
    <t>Крят Игорь</t>
  </si>
  <si>
    <t>Открытая (31.05.1988)/31</t>
  </si>
  <si>
    <t xml:space="preserve">RUS/Варениковская </t>
  </si>
  <si>
    <t>Бунтов Д.</t>
  </si>
  <si>
    <t>Подвижной Денис</t>
  </si>
  <si>
    <t>Мастера 40-49 (29.06.1977)/42</t>
  </si>
  <si>
    <t xml:space="preserve"> RUS/Королев</t>
  </si>
  <si>
    <t>Мастера 60-69 (10.11.1951)/68</t>
  </si>
  <si>
    <t>91,70</t>
  </si>
  <si>
    <t>Саванин Павел</t>
  </si>
  <si>
    <t>Открытая (17.10.1988)/31</t>
  </si>
  <si>
    <t>Илюткин Александр</t>
  </si>
  <si>
    <t>Открытая (03.02.1993)/26</t>
  </si>
  <si>
    <t>UZB/Termez</t>
  </si>
  <si>
    <t>Павлов Сергей</t>
  </si>
  <si>
    <t>Открытая (30.05.1985)/34</t>
  </si>
  <si>
    <t>Поздеев К.</t>
  </si>
  <si>
    <t>Ляпустин Дмитрий</t>
  </si>
  <si>
    <t>Открытая (06.12.1992)/27</t>
  </si>
  <si>
    <t>Открытая (03.02.1964)/55</t>
  </si>
  <si>
    <t>Хоботнев Владислав</t>
  </si>
  <si>
    <t>Открытая (22.05.1990)/29</t>
  </si>
  <si>
    <t xml:space="preserve"> RUS/Люберцы</t>
  </si>
  <si>
    <t>Чернышев Дмитрий</t>
  </si>
  <si>
    <t>Открытая (22.01.1974)/45</t>
  </si>
  <si>
    <t>96,40</t>
  </si>
  <si>
    <t>Мехдиев Намик</t>
  </si>
  <si>
    <t>Открытая (23.10.1985)/34</t>
  </si>
  <si>
    <t>Ананьин Алексей</t>
  </si>
  <si>
    <t>Мастера 40-49 (28.09.1976)/43</t>
  </si>
  <si>
    <t>Медведев Александр</t>
  </si>
  <si>
    <t>Мастера 50-59 (19.01.1967)/52</t>
  </si>
  <si>
    <t xml:space="preserve">Мельников П. </t>
  </si>
  <si>
    <t>Гнатко Виталий</t>
  </si>
  <si>
    <t>Мастера 50-59 (30.07.1961)/58</t>
  </si>
  <si>
    <t xml:space="preserve">Горохов Е. </t>
  </si>
  <si>
    <t>Ranjbar Mostafa</t>
  </si>
  <si>
    <t>Открытая (22.03.1990)/29</t>
  </si>
  <si>
    <t>402,5</t>
  </si>
  <si>
    <t>412,5</t>
  </si>
  <si>
    <t>Матико Богдан</t>
  </si>
  <si>
    <t>Открытая (03.06.1992)/27</t>
  </si>
  <si>
    <t xml:space="preserve">Морозов К. </t>
  </si>
  <si>
    <t>Ахмедов Евгений</t>
  </si>
  <si>
    <t>Открытая (20.12.1980)/38</t>
  </si>
  <si>
    <t>104,70</t>
  </si>
  <si>
    <t xml:space="preserve">RUS/Нижнекамск </t>
  </si>
  <si>
    <t>Таракин Александр</t>
  </si>
  <si>
    <t>Открытая (10.02.1986)/33</t>
  </si>
  <si>
    <t xml:space="preserve">Обухович А. </t>
  </si>
  <si>
    <t>Чайка Игорь</t>
  </si>
  <si>
    <t>Открытая (09.06.1994)/25</t>
  </si>
  <si>
    <t xml:space="preserve">RUS/Кронштадт </t>
  </si>
  <si>
    <t xml:space="preserve">Длужневский С. </t>
  </si>
  <si>
    <t xml:space="preserve"> LVA/Rezekne</t>
  </si>
  <si>
    <t>Зозулинский Олег</t>
  </si>
  <si>
    <t>Открытая (03.07.1986)/33</t>
  </si>
  <si>
    <t>UKR/Луганск</t>
  </si>
  <si>
    <t>Radzevicius Vaidas</t>
  </si>
  <si>
    <t>Мастера 40-49 (10.02.1976)/43</t>
  </si>
  <si>
    <t>Hartford E.</t>
  </si>
  <si>
    <t>Kipurs Maris</t>
  </si>
  <si>
    <t>Мастера 40-49 (29.09.1978)/41</t>
  </si>
  <si>
    <t>105,40</t>
  </si>
  <si>
    <t xml:space="preserve">Кондратьев В. </t>
  </si>
  <si>
    <t>Водкин Сергей</t>
  </si>
  <si>
    <t>Мастера 50-59 (18.03.1963)/56</t>
  </si>
  <si>
    <t>Khosrovzade Nijat</t>
  </si>
  <si>
    <t>Погас Максим</t>
  </si>
  <si>
    <t>Открытая (10.03.1985)/34</t>
  </si>
  <si>
    <t>Пермяков Сергей</t>
  </si>
  <si>
    <t>Открытая (09.09.1983)/36</t>
  </si>
  <si>
    <t>119,30</t>
  </si>
  <si>
    <t>Открытая (10.03.1975)/44</t>
  </si>
  <si>
    <t>Бондаренко Андрей</t>
  </si>
  <si>
    <t>Открытая (24.04.1981)/38</t>
  </si>
  <si>
    <t>110,20</t>
  </si>
  <si>
    <t xml:space="preserve">Морозов Н. </t>
  </si>
  <si>
    <t>Бутко Андрей</t>
  </si>
  <si>
    <t>Открытая (05.05.1985)/34</t>
  </si>
  <si>
    <t xml:space="preserve">RUS/Яхрома </t>
  </si>
  <si>
    <t>Чухнов Павел</t>
  </si>
  <si>
    <t>Открытая (11.06.1989)/30</t>
  </si>
  <si>
    <t xml:space="preserve">Смольников В. </t>
  </si>
  <si>
    <t>RUS/Кинель-Черкассы</t>
  </si>
  <si>
    <t>Лившиц Олег</t>
  </si>
  <si>
    <t>Мастера 40-49 (03.10.1973)/46</t>
  </si>
  <si>
    <t>119,00</t>
  </si>
  <si>
    <t xml:space="preserve">Шишканова С. </t>
  </si>
  <si>
    <t>Parsha Gholami</t>
  </si>
  <si>
    <t>Мастера 40-49 (07.04.1978)/41</t>
  </si>
  <si>
    <t>Алексеев Александр</t>
  </si>
  <si>
    <t>Открытая (27.06.1980)/39</t>
  </si>
  <si>
    <t>127,90</t>
  </si>
  <si>
    <t xml:space="preserve">LVA/Ludza </t>
  </si>
  <si>
    <t>371,0</t>
  </si>
  <si>
    <t xml:space="preserve">Лазовский С. </t>
  </si>
  <si>
    <t>Иванов Евгений</t>
  </si>
  <si>
    <t>Открытая (13.06.1973)/46</t>
  </si>
  <si>
    <t>133,70</t>
  </si>
  <si>
    <t xml:space="preserve">RUS/Намцы </t>
  </si>
  <si>
    <t>Мастера 40-49 (13.06.1973)/46</t>
  </si>
  <si>
    <t>197,80</t>
  </si>
  <si>
    <t>215,8222</t>
  </si>
  <si>
    <t>204,4030</t>
  </si>
  <si>
    <t>203,8500</t>
  </si>
  <si>
    <t>194,2500</t>
  </si>
  <si>
    <t>193,4730</t>
  </si>
  <si>
    <t>185,0280</t>
  </si>
  <si>
    <t>237,1530</t>
  </si>
  <si>
    <t>229,5360</t>
  </si>
  <si>
    <t>216,1280</t>
  </si>
  <si>
    <t>265,9450</t>
  </si>
  <si>
    <t>260,7466</t>
  </si>
  <si>
    <t>250,4462</t>
  </si>
  <si>
    <t>V Чемпионат мира WRPF
WEPF любители Становая тяга в экипировке ДК
Москва, 4 - 8 декабря 2019 года</t>
  </si>
  <si>
    <t>Шестаков Евгений</t>
  </si>
  <si>
    <t>Открытая (12.01.1989)/30</t>
  </si>
  <si>
    <t>81,10</t>
  </si>
  <si>
    <t xml:space="preserve">  RUS/Калининград</t>
  </si>
  <si>
    <t>Кровиков А.</t>
  </si>
  <si>
    <t>Кровиков Александр</t>
  </si>
  <si>
    <t>Мастера 50-59 (26.09.1961)/58</t>
  </si>
  <si>
    <t>V Чемпионат мира WRPF
WEPF любители Становая тяга в экипировке
Москва, 4 - 8 декабря 2019 года</t>
  </si>
  <si>
    <t>Aqayev Elshan</t>
  </si>
  <si>
    <t>Открытая (18.08.1983)/36</t>
  </si>
  <si>
    <t>Открытая (31.12.1995)/23</t>
  </si>
  <si>
    <t>Романченко Алексей</t>
  </si>
  <si>
    <t>Мастера 40-49 (12.02.1973)/46</t>
  </si>
  <si>
    <t>91,60</t>
  </si>
  <si>
    <t xml:space="preserve">Цыганков А. </t>
  </si>
  <si>
    <t>Toth Nikolas</t>
  </si>
  <si>
    <t>Юниоры (11.08.1998)/21</t>
  </si>
  <si>
    <t>119,70</t>
  </si>
  <si>
    <t>Abasian Mohamad</t>
  </si>
  <si>
    <t>Открытая (07.09.1985)/34</t>
  </si>
  <si>
    <t>117,60</t>
  </si>
  <si>
    <t>V Чемпионат мира WRPF
WRPF Строгий подъем штанги на бицепс
Москва, 4 - 8 декабря 2019 года</t>
  </si>
  <si>
    <t>Подъем на бицепс</t>
  </si>
  <si>
    <t>32,5</t>
  </si>
  <si>
    <t>Степанкина Марина</t>
  </si>
  <si>
    <t>Открытая (17.12.1998)/20</t>
  </si>
  <si>
    <t>Зайцева Мария</t>
  </si>
  <si>
    <t>Открытая (06.05.1993)/26</t>
  </si>
  <si>
    <t>Жуманиязова Наталия</t>
  </si>
  <si>
    <t>Открытая (19.03.1974)/45</t>
  </si>
  <si>
    <t>Павлюченко Анна</t>
  </si>
  <si>
    <t>Мастера 40-49 (20.06.1977)/42</t>
  </si>
  <si>
    <t xml:space="preserve">Зорин Е. </t>
  </si>
  <si>
    <t>Борисова Анастасия</t>
  </si>
  <si>
    <t>Юниорки 20-23 (23.03.1998)/21</t>
  </si>
  <si>
    <t xml:space="preserve">Химченко А. </t>
  </si>
  <si>
    <t>Чернов Никита</t>
  </si>
  <si>
    <t>Юноши 13-19 (29.04.2002)/17</t>
  </si>
  <si>
    <t>Зацепин Матвей</t>
  </si>
  <si>
    <t>Юноши 13-19 (28.08.2004)/15</t>
  </si>
  <si>
    <t>Сидяков Никита</t>
  </si>
  <si>
    <t>Юниоры 20-23 (06.12.1999)/20</t>
  </si>
  <si>
    <t>Шигаев Василий</t>
  </si>
  <si>
    <t>Юноши 13-19 (21.01.2000)/19</t>
  </si>
  <si>
    <t xml:space="preserve">Овчинников В. </t>
  </si>
  <si>
    <t>Юноши 13-19 (08.12.2000)/18</t>
  </si>
  <si>
    <t>Лещук Кирилл</t>
  </si>
  <si>
    <t>Юноши 13-19 (07.10.2003)/16</t>
  </si>
  <si>
    <t>Люднов Иван</t>
  </si>
  <si>
    <t>Открытая (07.07.1991)/28</t>
  </si>
  <si>
    <t xml:space="preserve">RUS/Александрийская </t>
  </si>
  <si>
    <t>Юноши 13-19 (15.01.2000)/19</t>
  </si>
  <si>
    <t>Новиков Артём</t>
  </si>
  <si>
    <t>Юноши 13-19 (22.10.2003)/16</t>
  </si>
  <si>
    <t>Юноши 13-19 (02.06.2002)/17</t>
  </si>
  <si>
    <t>Зайцев Лемми</t>
  </si>
  <si>
    <t>Открытая (16.03.1986)/33</t>
  </si>
  <si>
    <t>64,60</t>
  </si>
  <si>
    <t>Семенов Валерий</t>
  </si>
  <si>
    <t>Открытая (30.05.1983)/36</t>
  </si>
  <si>
    <t>Ефремов Сергей</t>
  </si>
  <si>
    <t>Открытая (02.01.1991)/28</t>
  </si>
  <si>
    <t>Щербаков Дмитрий</t>
  </si>
  <si>
    <t>Осипов Андрей</t>
  </si>
  <si>
    <t>Открытая (07.05.1989)/30</t>
  </si>
  <si>
    <t xml:space="preserve"> RUS/Батырево</t>
  </si>
  <si>
    <t>53,0</t>
  </si>
  <si>
    <t>53,5</t>
  </si>
  <si>
    <t>кирилюк дмитрий</t>
  </si>
  <si>
    <t>Открытая (25.02.1967)/52</t>
  </si>
  <si>
    <t>67,40</t>
  </si>
  <si>
    <t>Щербатов Александр</t>
  </si>
  <si>
    <t>Открытая (24.07.1990)/29</t>
  </si>
  <si>
    <t>Кирилюк Дмитрий</t>
  </si>
  <si>
    <t>Мастера 50-59 (25.02.1967)/52</t>
  </si>
  <si>
    <t>Мастера 60+ (01.05.1959)/60</t>
  </si>
  <si>
    <t>Ромашов Виктор</t>
  </si>
  <si>
    <t>Мастера 60+ (03.04.1957)/62</t>
  </si>
  <si>
    <t>Афонин Никита</t>
  </si>
  <si>
    <t>Юноши 13-19 (26.10.2003)/16</t>
  </si>
  <si>
    <t xml:space="preserve">Нещедимов Р. </t>
  </si>
  <si>
    <t>Юниоры 20-23 (03.06.1997)/22</t>
  </si>
  <si>
    <t>73,0</t>
  </si>
  <si>
    <t>Батырев Никита</t>
  </si>
  <si>
    <t>Юниоры 20-23 (19.09.1997)/22</t>
  </si>
  <si>
    <t>Прокопенков Максим</t>
  </si>
  <si>
    <t>Юниоры 20-23 (22.05.1997)/22</t>
  </si>
  <si>
    <t xml:space="preserve">RUS/Рославль </t>
  </si>
  <si>
    <t>Рохманько Михаил</t>
  </si>
  <si>
    <t>Юниоры 20-23 (24.04.1999)/20</t>
  </si>
  <si>
    <t>Дреев Азамат</t>
  </si>
  <si>
    <t>Открытая (16.04.1992)/27</t>
  </si>
  <si>
    <t>76,0</t>
  </si>
  <si>
    <t>78,0</t>
  </si>
  <si>
    <t>Шапкин Александр</t>
  </si>
  <si>
    <t>Открытая (30.07.1985)/34</t>
  </si>
  <si>
    <t>77,0</t>
  </si>
  <si>
    <t xml:space="preserve">Грачёв А. </t>
  </si>
  <si>
    <t>74,0</t>
  </si>
  <si>
    <t>Открытая (03.06.1997)/22</t>
  </si>
  <si>
    <t>Шарлай Александр</t>
  </si>
  <si>
    <t>Открытая (15.02.1987)/32</t>
  </si>
  <si>
    <t xml:space="preserve">RUS/Щёлкино </t>
  </si>
  <si>
    <t>Открытая (19.09.1997)/22</t>
  </si>
  <si>
    <t>Дуров Сергей</t>
  </si>
  <si>
    <t>Открытая (08.09.1974)/45</t>
  </si>
  <si>
    <t>Гайфутдинов Алексей</t>
  </si>
  <si>
    <t>Открытая (24.08.1984)/35</t>
  </si>
  <si>
    <t>Семенов Николай</t>
  </si>
  <si>
    <t>Открытая (05.04.1988)/31</t>
  </si>
  <si>
    <t>Белобородов Владислав</t>
  </si>
  <si>
    <t>Открытая (07.12.1990)/28</t>
  </si>
  <si>
    <t>Никитченко Сергей</t>
  </si>
  <si>
    <t>Мастера 40-49 (10.09.1978)/41</t>
  </si>
  <si>
    <t>71,30</t>
  </si>
  <si>
    <t>Мастера 40-49 (08.09.1974)/45</t>
  </si>
  <si>
    <t>Колистратов Дмитрий</t>
  </si>
  <si>
    <t>Мастера 40-49 (08.03.1977)/42</t>
  </si>
  <si>
    <t>Юноши 13-19 (09.07.2002)/17</t>
  </si>
  <si>
    <t>Муравьев Артем</t>
  </si>
  <si>
    <t>Юниоры 20-23 (26.11.1997)/22</t>
  </si>
  <si>
    <t xml:space="preserve">Макаров И. </t>
  </si>
  <si>
    <t>Остапенко Денис</t>
  </si>
  <si>
    <t>Юниоры 20-23 (19.11.1999)/20</t>
  </si>
  <si>
    <t>Сакович Олег</t>
  </si>
  <si>
    <t>Открытая (21.08.1992)/27</t>
  </si>
  <si>
    <t xml:space="preserve"> RUS/Зеленоград</t>
  </si>
  <si>
    <t>98,5</t>
  </si>
  <si>
    <t>Чугунов Дмитрий</t>
  </si>
  <si>
    <t>Открытая (07.09.1991)/28</t>
  </si>
  <si>
    <t>Открытая (26.11.1997)/22</t>
  </si>
  <si>
    <t>Открытая (19.11.1999)/20</t>
  </si>
  <si>
    <t>Аюпов Арсен</t>
  </si>
  <si>
    <t>Шарафутдинов Фанис</t>
  </si>
  <si>
    <t>Открытая (04.05.1995)/24</t>
  </si>
  <si>
    <t xml:space="preserve">RUS/Октябрьский </t>
  </si>
  <si>
    <t>Федюков Сергей</t>
  </si>
  <si>
    <t>Открытая (05.04.1983)/36</t>
  </si>
  <si>
    <t>Ковалев Игорь</t>
  </si>
  <si>
    <t>Мастера 60+ (08.04.1957)/62</t>
  </si>
  <si>
    <t>Карев Владимир</t>
  </si>
  <si>
    <t>Мастера 60+ (18.12.1948)/70</t>
  </si>
  <si>
    <t>77,80</t>
  </si>
  <si>
    <t xml:space="preserve">RUS/Мичуринск </t>
  </si>
  <si>
    <t>Наумов Владислав</t>
  </si>
  <si>
    <t>Юноши 13-19 (01.10.2001)/18</t>
  </si>
  <si>
    <t>Миронов Михаил</t>
  </si>
  <si>
    <t>Открытая (17.06.1994)/25</t>
  </si>
  <si>
    <t>Махалов Артём</t>
  </si>
  <si>
    <t>Открытая (23.04.1992)/27</t>
  </si>
  <si>
    <t>86,5</t>
  </si>
  <si>
    <t xml:space="preserve">Эйвазов Д. </t>
  </si>
  <si>
    <t>Скольский Сергей</t>
  </si>
  <si>
    <t>Открытая (06.06.1995)/24</t>
  </si>
  <si>
    <t xml:space="preserve">RUS/Йошкар-Ола </t>
  </si>
  <si>
    <t xml:space="preserve">Чупракова К. </t>
  </si>
  <si>
    <t>Люшуков Алексей</t>
  </si>
  <si>
    <t>Открытая (23.05.1979)/40</t>
  </si>
  <si>
    <t>81,5</t>
  </si>
  <si>
    <t xml:space="preserve">Люшуков Н. </t>
  </si>
  <si>
    <t>Чибисов Степан</t>
  </si>
  <si>
    <t>Открытая (06.03.1989)/30</t>
  </si>
  <si>
    <t>Варлаков Сергей</t>
  </si>
  <si>
    <t>Открытая (20.09.1983)/36</t>
  </si>
  <si>
    <t>Химченко Андрей</t>
  </si>
  <si>
    <t>Открытая (07.03.1983)/36</t>
  </si>
  <si>
    <t>85,90</t>
  </si>
  <si>
    <t>Непряев Александр</t>
  </si>
  <si>
    <t>Открытая (24.07.1989)/30</t>
  </si>
  <si>
    <t>Мастера 40-49 (23.05.1979)/40</t>
  </si>
  <si>
    <t>Гореликов Дмитрий</t>
  </si>
  <si>
    <t>Мастера 50-59 (23.06.1968)/51</t>
  </si>
  <si>
    <t xml:space="preserve"> RUS/Сергиев Посад</t>
  </si>
  <si>
    <t>Прохоров Даниил</t>
  </si>
  <si>
    <t>Юниоры 20-23 (09.09.1996)/23</t>
  </si>
  <si>
    <t>90,20</t>
  </si>
  <si>
    <t xml:space="preserve">RUS/Электроугли </t>
  </si>
  <si>
    <t>82,0</t>
  </si>
  <si>
    <t>Нарышкин Алексей</t>
  </si>
  <si>
    <t>Открытая (30.08.1994)/25</t>
  </si>
  <si>
    <t xml:space="preserve">Романов К. </t>
  </si>
  <si>
    <t>Клименко Алексей</t>
  </si>
  <si>
    <t>Открытая (14.12.1991)/27</t>
  </si>
  <si>
    <t>103,0</t>
  </si>
  <si>
    <t>Agayev Tural</t>
  </si>
  <si>
    <t>Открытая (24.05.1982)/37</t>
  </si>
  <si>
    <t>AZE/Baku</t>
  </si>
  <si>
    <t>83,5</t>
  </si>
  <si>
    <t>86,0</t>
  </si>
  <si>
    <t>88,0</t>
  </si>
  <si>
    <t>Калашник Дмитрий</t>
  </si>
  <si>
    <t>Мастера 40-49 (26.07.1975)/44</t>
  </si>
  <si>
    <t>83,0</t>
  </si>
  <si>
    <t>Мельяновский Александр</t>
  </si>
  <si>
    <t>Мастера 40-49 (05.04.1978)/41</t>
  </si>
  <si>
    <t>Ляхов Василий</t>
  </si>
  <si>
    <t>Мастера 60+ (30.05.1948)/71</t>
  </si>
  <si>
    <t>Золотов Артём</t>
  </si>
  <si>
    <t>Открытая (06.03.1982)/37</t>
  </si>
  <si>
    <t>104,90</t>
  </si>
  <si>
    <t>Raudsepp Mati</t>
  </si>
  <si>
    <t>Мастера 40-49 (24.07.1970)/49</t>
  </si>
  <si>
    <t>EST/Tallinn</t>
  </si>
  <si>
    <t>68,0</t>
  </si>
  <si>
    <t>Тагиев Низами</t>
  </si>
  <si>
    <t xml:space="preserve">RUS/Горячий Ключ </t>
  </si>
  <si>
    <t>Бахланов Юрий</t>
  </si>
  <si>
    <t>Открытая (11.06.1981)/38</t>
  </si>
  <si>
    <t>120,50</t>
  </si>
  <si>
    <t>106,5</t>
  </si>
  <si>
    <t>Казин Максим</t>
  </si>
  <si>
    <t>Открытая (10.05.1988)/31</t>
  </si>
  <si>
    <t xml:space="preserve">Богжанов Д. </t>
  </si>
  <si>
    <t>Романов Дмитрий</t>
  </si>
  <si>
    <t>Открытая (16.06.1987)/32</t>
  </si>
  <si>
    <t xml:space="preserve">Чибисов С. </t>
  </si>
  <si>
    <t>Авдулов Евгений</t>
  </si>
  <si>
    <t xml:space="preserve">RUS/Суздаль </t>
  </si>
  <si>
    <t>106,0</t>
  </si>
  <si>
    <t>Николаев Кирилл</t>
  </si>
  <si>
    <t>Открытая (13.07.1980)/39</t>
  </si>
  <si>
    <t xml:space="preserve">Прохоренко А. </t>
  </si>
  <si>
    <t>Юниоры 20-23 (29.01.1997)/22</t>
  </si>
  <si>
    <t>107,0</t>
  </si>
  <si>
    <t>108,0</t>
  </si>
  <si>
    <t>Пожидаев Олег</t>
  </si>
  <si>
    <t>Открытая (25.06.1992)/27</t>
  </si>
  <si>
    <t>127,10</t>
  </si>
  <si>
    <t>Мальцев Сергей</t>
  </si>
  <si>
    <t>Открытая (08.10.1991)/28</t>
  </si>
  <si>
    <t>164,20</t>
  </si>
  <si>
    <t>44,8162</t>
  </si>
  <si>
    <t>44,4225</t>
  </si>
  <si>
    <t>44</t>
  </si>
  <si>
    <t>41,0865</t>
  </si>
  <si>
    <t xml:space="preserve">Юноши 13-19 </t>
  </si>
  <si>
    <t>50,0598</t>
  </si>
  <si>
    <t>48,3604</t>
  </si>
  <si>
    <t>44,6075</t>
  </si>
  <si>
    <t xml:space="preserve">Юниоры 20-23 </t>
  </si>
  <si>
    <t>58,3535</t>
  </si>
  <si>
    <t>55,2287</t>
  </si>
  <si>
    <t>51,1539</t>
  </si>
  <si>
    <t>Резлультат</t>
  </si>
  <si>
    <t>64,0283</t>
  </si>
  <si>
    <t>58,8850</t>
  </si>
  <si>
    <t>58,7907</t>
  </si>
  <si>
    <t>60,3849</t>
  </si>
  <si>
    <t>55,9443</t>
  </si>
  <si>
    <t>54,8452</t>
  </si>
  <si>
    <t>V Чемпионат мира WRPF
WAF Rolling Thunder
Москва, 4 - 8 декабря 2019 года</t>
  </si>
  <si>
    <t>Тяга</t>
  </si>
  <si>
    <t>Роптопуло Полина</t>
  </si>
  <si>
    <t>Открытая (03.04.1982)/37</t>
  </si>
  <si>
    <t>16,5</t>
  </si>
  <si>
    <t>24,0</t>
  </si>
  <si>
    <t>31,5</t>
  </si>
  <si>
    <t>Чернова Анна</t>
  </si>
  <si>
    <t>Открытая (27.10.1988)/31</t>
  </si>
  <si>
    <t>41,5</t>
  </si>
  <si>
    <t>44,0</t>
  </si>
  <si>
    <t xml:space="preserve">Чернов В. </t>
  </si>
  <si>
    <t>Попова Марина</t>
  </si>
  <si>
    <t>Открытая (09.06.1987)/32</t>
  </si>
  <si>
    <t>34,0</t>
  </si>
  <si>
    <t>39,0</t>
  </si>
  <si>
    <t>48,0</t>
  </si>
  <si>
    <t xml:space="preserve">Тарасов С. </t>
  </si>
  <si>
    <t>Денисова Ксения</t>
  </si>
  <si>
    <t>Открытая (21.11.1990)/29</t>
  </si>
  <si>
    <t>57,20</t>
  </si>
  <si>
    <t xml:space="preserve">Ковалев И. </t>
  </si>
  <si>
    <t>Беляева Августа</t>
  </si>
  <si>
    <t>Мастера 60+ (08.12.1954)/64</t>
  </si>
  <si>
    <t>56,40</t>
  </si>
  <si>
    <t>21,5</t>
  </si>
  <si>
    <t>Истомина Ксения</t>
  </si>
  <si>
    <t>36,5</t>
  </si>
  <si>
    <t>Бочкарева Анна</t>
  </si>
  <si>
    <t>Открытая (26.03.1990)/29</t>
  </si>
  <si>
    <t>61,30</t>
  </si>
  <si>
    <t>20,0</t>
  </si>
  <si>
    <t>29,0</t>
  </si>
  <si>
    <t>Гильмутдинова Гульназ</t>
  </si>
  <si>
    <t>Мастера 50-59 (01.08.1966)/53</t>
  </si>
  <si>
    <t>14,0</t>
  </si>
  <si>
    <t>19,0</t>
  </si>
  <si>
    <t xml:space="preserve">Круглов </t>
  </si>
  <si>
    <t>ВЕСОВАЯ КАТЕГОРИЯ   75+</t>
  </si>
  <si>
    <t>Зенкова Кристина</t>
  </si>
  <si>
    <t>Открытая (17.06.1983)/36</t>
  </si>
  <si>
    <t xml:space="preserve">Малеев Ю. </t>
  </si>
  <si>
    <t>ВЕСОВАЯ КАТЕГОРИЯ   70</t>
  </si>
  <si>
    <t>Лысиков Владимир</t>
  </si>
  <si>
    <t>Открытая (30.06.1993)/26</t>
  </si>
  <si>
    <t>68,60</t>
  </si>
  <si>
    <t>69,0</t>
  </si>
  <si>
    <t>79,0</t>
  </si>
  <si>
    <t>46,5</t>
  </si>
  <si>
    <t>51,5</t>
  </si>
  <si>
    <t>54,0</t>
  </si>
  <si>
    <t>Дидикин Василий</t>
  </si>
  <si>
    <t>Мастера 50-59 (06.05.1966)/53</t>
  </si>
  <si>
    <t>69,70</t>
  </si>
  <si>
    <t>RUS/Сургут</t>
  </si>
  <si>
    <t>59,0</t>
  </si>
  <si>
    <t>64,0</t>
  </si>
  <si>
    <t>66,5</t>
  </si>
  <si>
    <t>ВЕСОВАЯ КАТЕГОРИЯ   80</t>
  </si>
  <si>
    <t>Ковалев Илья</t>
  </si>
  <si>
    <t>Открытая (24.09.1994)/25</t>
  </si>
  <si>
    <t>Дехканбаев Саттаркул</t>
  </si>
  <si>
    <t>Мастера 60+ (14.01.1955)/64</t>
  </si>
  <si>
    <t>46,0</t>
  </si>
  <si>
    <t>Карпенко Николай</t>
  </si>
  <si>
    <t>Открытая (22.11.1989)/30</t>
  </si>
  <si>
    <t>85,20</t>
  </si>
  <si>
    <t xml:space="preserve">KAZ/Павлодар </t>
  </si>
  <si>
    <t>84,0</t>
  </si>
  <si>
    <t>87,0</t>
  </si>
  <si>
    <t>89,0</t>
  </si>
  <si>
    <t>Трексель Никита</t>
  </si>
  <si>
    <t>Открытая (02.08.1994)/25</t>
  </si>
  <si>
    <t xml:space="preserve">RUS/Иркутск </t>
  </si>
  <si>
    <t>Анисимов Роман</t>
  </si>
  <si>
    <t>Открытая (21.05.1978)/41</t>
  </si>
  <si>
    <t xml:space="preserve">RUS/Тейково </t>
  </si>
  <si>
    <t>71,5</t>
  </si>
  <si>
    <t>Неверов Евгений</t>
  </si>
  <si>
    <t>Открытая (21.05.1983)/36</t>
  </si>
  <si>
    <t>Шевченко Сергей</t>
  </si>
  <si>
    <t>Мастера 40-49 (30.04.1974)/45</t>
  </si>
  <si>
    <t>82,80</t>
  </si>
  <si>
    <t>76,5</t>
  </si>
  <si>
    <t>56,5</t>
  </si>
  <si>
    <t>Кулясов Сергей</t>
  </si>
  <si>
    <t>Открытая (11.09.1982)/37</t>
  </si>
  <si>
    <t>91,5</t>
  </si>
  <si>
    <t>94,5</t>
  </si>
  <si>
    <t>Макаров Илья</t>
  </si>
  <si>
    <t>Открытая (10.04.1991)/28</t>
  </si>
  <si>
    <t>94,0</t>
  </si>
  <si>
    <t xml:space="preserve">Евсеев С. </t>
  </si>
  <si>
    <t>Киселев Игорь</t>
  </si>
  <si>
    <t>Открытая (22.12.1992)/26</t>
  </si>
  <si>
    <t xml:space="preserve"> RUS/Железнодорожный</t>
  </si>
  <si>
    <t>Ащеулов Владимир</t>
  </si>
  <si>
    <t>Открытая (19.10.1987)/32</t>
  </si>
  <si>
    <t xml:space="preserve">Айрапетов Э. </t>
  </si>
  <si>
    <t>Засадко Руслан</t>
  </si>
  <si>
    <t>Мастера 40-49 (10.01.1976)/43</t>
  </si>
  <si>
    <t>84,5</t>
  </si>
  <si>
    <t xml:space="preserve">Кривых И. </t>
  </si>
  <si>
    <t>Маликов Александр</t>
  </si>
  <si>
    <t>Мастера 40-49 (21.12.1972)/46</t>
  </si>
  <si>
    <t>98,55</t>
  </si>
  <si>
    <t xml:space="preserve">Абаев В. </t>
  </si>
  <si>
    <t>Романов Валерий</t>
  </si>
  <si>
    <t>Мастера 50-59 (15.02.1960)/59</t>
  </si>
  <si>
    <t>96,60</t>
  </si>
  <si>
    <t xml:space="preserve"> RUS/Дзержинск</t>
  </si>
  <si>
    <t>61,5</t>
  </si>
  <si>
    <t>Открытая (24.07.1970)/49</t>
  </si>
  <si>
    <t xml:space="preserve"> EST/Tallinn</t>
  </si>
  <si>
    <t xml:space="preserve">  EST/Tallinn</t>
  </si>
  <si>
    <t>Борисов Игорь</t>
  </si>
  <si>
    <t>Мастера 50-59 (10.04.1963)/56</t>
  </si>
  <si>
    <t>109,10</t>
  </si>
  <si>
    <t xml:space="preserve">RUS/Навашино </t>
  </si>
  <si>
    <t xml:space="preserve">Бериташвили И. </t>
  </si>
  <si>
    <t>121,50</t>
  </si>
  <si>
    <t>95,5</t>
  </si>
  <si>
    <t>Юрковец Никита</t>
  </si>
  <si>
    <t>Открытая (17.04.1997)/22</t>
  </si>
  <si>
    <t>113,70</t>
  </si>
  <si>
    <t xml:space="preserve"> BLR/Бобруйск</t>
  </si>
  <si>
    <t xml:space="preserve">Середич А. </t>
  </si>
  <si>
    <t>Петров Данил</t>
  </si>
  <si>
    <t>Открытая (19.12.1980)/38</t>
  </si>
  <si>
    <t>113,90</t>
  </si>
  <si>
    <t>Куницын Виталий</t>
  </si>
  <si>
    <t>Мастера 60+ (15.05.1957)/62</t>
  </si>
  <si>
    <t>114,00</t>
  </si>
  <si>
    <t>Нуретдинов Фанис</t>
  </si>
  <si>
    <t>Мастера 60+ (19.02.1952)/67</t>
  </si>
  <si>
    <t>49,0</t>
  </si>
  <si>
    <t>V Чемпионат мира WRPF
WAF Apollon`s Axle
Москва, 4 - 8 декабря 2019 года</t>
  </si>
  <si>
    <t>Федоренко Марина</t>
  </si>
  <si>
    <t>Открытая (12.06.1978)/41</t>
  </si>
  <si>
    <t xml:space="preserve">Иванов Е. </t>
  </si>
  <si>
    <t>Мастера 40-49 (12.06.1978)/41</t>
  </si>
  <si>
    <t>Загороднюк Егор</t>
  </si>
  <si>
    <t>Юниоры (18.02.2003)/16</t>
  </si>
  <si>
    <t xml:space="preserve"> RUS/Сургут</t>
  </si>
  <si>
    <t>Кудинов Александр</t>
  </si>
  <si>
    <t>Открытая (09.09.1984)/35</t>
  </si>
  <si>
    <t xml:space="preserve"> RUS/Балашиха</t>
  </si>
  <si>
    <t>Науман Андрей</t>
  </si>
  <si>
    <t>Открытая (12.10.1998)/21</t>
  </si>
  <si>
    <t xml:space="preserve">Петров Е. </t>
  </si>
  <si>
    <t>Eriskin Alexander</t>
  </si>
  <si>
    <t>Открытая (15.10.1998)/21</t>
  </si>
  <si>
    <t>Лихолай Александр</t>
  </si>
  <si>
    <t>Мастера 60+ (22.02.1939)/80</t>
  </si>
  <si>
    <t>Шелестов Александр</t>
  </si>
  <si>
    <t>Мастера 40-49 (21.05.1978)/41</t>
  </si>
  <si>
    <t>Поволоцкий Дмитрий</t>
  </si>
  <si>
    <t>Открытая (08.11.1987)/32</t>
  </si>
  <si>
    <t>91,80</t>
  </si>
  <si>
    <t xml:space="preserve">  RUS/Дзержинск</t>
  </si>
  <si>
    <t>Axmedzade Camal</t>
  </si>
  <si>
    <t>121,20</t>
  </si>
  <si>
    <t xml:space="preserve">  BLR/Бобруйск</t>
  </si>
  <si>
    <t>ВЕСОВАЯ КАТЕГОРИЯ   125+</t>
  </si>
  <si>
    <t>V Чемпионат мира WRPF
WAF Hub
Москва, 4 - 8 декабря 2019 года</t>
  </si>
  <si>
    <t>15,0</t>
  </si>
  <si>
    <t>17,5</t>
  </si>
  <si>
    <t>19,8</t>
  </si>
  <si>
    <t>Худяков Владимир</t>
  </si>
  <si>
    <t>Открытая (11.06.1984)/35</t>
  </si>
  <si>
    <t xml:space="preserve">RUS/Гаврилов-Ям </t>
  </si>
  <si>
    <t xml:space="preserve">Фотин Александр </t>
  </si>
  <si>
    <t>Мастера 40-49 (20.12.1972)/46</t>
  </si>
  <si>
    <t>Федяев Михаил</t>
  </si>
  <si>
    <t>Открытая (03.03.1987)/32</t>
  </si>
  <si>
    <t>31,3</t>
  </si>
  <si>
    <t>36,3</t>
  </si>
  <si>
    <t xml:space="preserve">Хайкин А. </t>
  </si>
  <si>
    <t>Шония Артем</t>
  </si>
  <si>
    <t>Открытая (12.03.1991)/28</t>
  </si>
  <si>
    <t>90,30</t>
  </si>
  <si>
    <t>Шония А.</t>
  </si>
  <si>
    <t>93,20</t>
  </si>
  <si>
    <t>Хромчихин Николай</t>
  </si>
  <si>
    <t>Мастера 40-49 (17.05.1973)/46</t>
  </si>
  <si>
    <t>90,90</t>
  </si>
  <si>
    <t>Фаустов Александр</t>
  </si>
  <si>
    <t>Мастера 40-49 (21.02.1976)/43</t>
  </si>
  <si>
    <t xml:space="preserve">RUS/Новомосковск </t>
  </si>
  <si>
    <t>38,0</t>
  </si>
  <si>
    <t>Бояров Александр</t>
  </si>
  <si>
    <t>Открытая (21.07.1986)/33</t>
  </si>
  <si>
    <t>110,10</t>
  </si>
  <si>
    <t>33,8</t>
  </si>
  <si>
    <t>Шония Алексей</t>
  </si>
  <si>
    <t>Мастера 40-49 (20.09.1970)/49</t>
  </si>
  <si>
    <t>134,60</t>
  </si>
  <si>
    <t>V Чемпионат мира WRPF
WAF Two handed pinch grip block
Москва, 4 - 8 декабря 2019 года</t>
  </si>
  <si>
    <t>Крятова Екатерина</t>
  </si>
  <si>
    <t>Открытая (04.04.1984)/35</t>
  </si>
  <si>
    <t>26,0</t>
  </si>
  <si>
    <t>28,5</t>
  </si>
  <si>
    <t>31,0</t>
  </si>
  <si>
    <t xml:space="preserve">Зинченко В. </t>
  </si>
  <si>
    <t>21,0</t>
  </si>
  <si>
    <t>23,5</t>
  </si>
  <si>
    <t>Ермолаева Анна</t>
  </si>
  <si>
    <t>Открытая (27.04.1975)/44</t>
  </si>
  <si>
    <t>68,70</t>
  </si>
  <si>
    <t>48,5</t>
  </si>
  <si>
    <t>50,5</t>
  </si>
  <si>
    <t>Беляев Р.</t>
  </si>
  <si>
    <t>Мастера 40-49 (27.04.1975)/44</t>
  </si>
  <si>
    <t>Открытая (06.05.1966)/53</t>
  </si>
  <si>
    <t xml:space="preserve">  RUS/Сургут</t>
  </si>
  <si>
    <t>66,0</t>
  </si>
  <si>
    <t>73,5</t>
  </si>
  <si>
    <t>Ильин Максим</t>
  </si>
  <si>
    <t>Юниоры (17.09.1999)/20</t>
  </si>
  <si>
    <t>51,0</t>
  </si>
  <si>
    <t>61,0</t>
  </si>
  <si>
    <t xml:space="preserve">Панфилов А. </t>
  </si>
  <si>
    <t>81,0</t>
  </si>
  <si>
    <t>68,5</t>
  </si>
  <si>
    <t>78,5</t>
  </si>
  <si>
    <t>Акбашев Александр</t>
  </si>
  <si>
    <t>Открытая (15.01.1991)/28</t>
  </si>
  <si>
    <t xml:space="preserve">RUS/Елабуга </t>
  </si>
  <si>
    <t>63,5</t>
  </si>
  <si>
    <t>71,0</t>
  </si>
  <si>
    <t>Открытая (21.02.1976)/43</t>
  </si>
  <si>
    <t>88,5</t>
  </si>
  <si>
    <t>91,0</t>
  </si>
  <si>
    <t>93,5</t>
  </si>
  <si>
    <t>103,5</t>
  </si>
  <si>
    <t>V Чемпионат мира WRPF
WAF Excalibur
Москва, 4 - 8 декабря 2019 года</t>
  </si>
  <si>
    <t>Открытая (29.05.1985)/34</t>
  </si>
  <si>
    <t>58,60</t>
  </si>
  <si>
    <t>Подрядчик Юлия</t>
  </si>
  <si>
    <t>Открытая (10.08.1988)/31</t>
  </si>
  <si>
    <t>Шония Ярослав</t>
  </si>
  <si>
    <t>Юниоры (18.08.1999)/20</t>
  </si>
  <si>
    <t>78,10</t>
  </si>
  <si>
    <t xml:space="preserve">Шония А </t>
  </si>
  <si>
    <t>Лапханов Антон</t>
  </si>
  <si>
    <t>Открытая (13.04.1992)/27</t>
  </si>
  <si>
    <t xml:space="preserve">RUS/Будённовск </t>
  </si>
  <si>
    <t>Китаев А.</t>
  </si>
  <si>
    <t>Талдыкин Артём</t>
  </si>
  <si>
    <t>Открытая (02.12.1991)/28</t>
  </si>
  <si>
    <t xml:space="preserve">  RUS/Южно-Сахалинск</t>
  </si>
  <si>
    <t>136,0</t>
  </si>
  <si>
    <t>142,0</t>
  </si>
  <si>
    <t>Пономарев Александр</t>
  </si>
  <si>
    <t>Открытая (18.08.1989)/30</t>
  </si>
  <si>
    <t xml:space="preserve">RUS/Дятьково </t>
  </si>
  <si>
    <t>Карский Игорь</t>
  </si>
  <si>
    <t>Мастера 40-49 (24.02.1977)/42</t>
  </si>
  <si>
    <t>137,40</t>
  </si>
  <si>
    <t xml:space="preserve">Александр А. </t>
  </si>
  <si>
    <t>V Чемпионат мира WRPF
WAF Silver Bullet
Москва, 4 - 8 декабря 2019 года</t>
  </si>
  <si>
    <t xml:space="preserve">   RUS/Южно-Сахалинск</t>
  </si>
  <si>
    <t>Асиновский Александр</t>
  </si>
  <si>
    <t>Открытая (17.06.1978)/41</t>
  </si>
  <si>
    <t>Савинов Алексей</t>
  </si>
  <si>
    <t>Открытая (18.11.1972)/47</t>
  </si>
  <si>
    <t xml:space="preserve">RUS/Дзержинск </t>
  </si>
  <si>
    <t>V Чемпионат мира WRPF
WAF Saxon bar deadlift
Москва, 4 - 8 декабря 2019 года</t>
  </si>
  <si>
    <t>Клименко Евгений</t>
  </si>
  <si>
    <t>Юниоры (07.02.1996)/23</t>
  </si>
  <si>
    <t>95,60</t>
  </si>
  <si>
    <t xml:space="preserve">RUS/Темрюк </t>
  </si>
  <si>
    <t>75,5</t>
  </si>
  <si>
    <t>Открытая (21.12.1972)/46</t>
  </si>
  <si>
    <t>Мастера 40-49 (17.06.1978)/41</t>
  </si>
  <si>
    <t>BLR/Бобруйск</t>
  </si>
  <si>
    <t>Зинченко Валентин</t>
  </si>
  <si>
    <t>Открытая (11.11.1983)/36</t>
  </si>
  <si>
    <t xml:space="preserve">Асиновский А. </t>
  </si>
  <si>
    <t>Чемпионат мира по стритлифтингу версии WSF
WSF Двоеборье
Москва, 4 - 8 декабря 2019 года</t>
  </si>
  <si>
    <t>Reshel</t>
  </si>
  <si>
    <t>Подтягивания</t>
  </si>
  <si>
    <t>Отжимания</t>
  </si>
  <si>
    <t>Шереметьева Юлия</t>
  </si>
  <si>
    <t>Открытая (19.08.1987)/32</t>
  </si>
  <si>
    <t>Уваров Роман</t>
  </si>
  <si>
    <t>Открытая (30.12.1997)/21</t>
  </si>
  <si>
    <t>Витаргов Шамхан</t>
  </si>
  <si>
    <t>Открытая (22.03.1994)/25</t>
  </si>
  <si>
    <t>Дерзанов Владимир</t>
  </si>
  <si>
    <t>Мастера 40-49 (15.12.1971)/47</t>
  </si>
  <si>
    <t>Муратханулы Б.</t>
  </si>
  <si>
    <t>Чемпионат мира по стритлифтингу версии WSF
WSF Подтягивания
Москва, 4 - 8 декабря 2019 года</t>
  </si>
  <si>
    <t>Лученецкая Елена</t>
  </si>
  <si>
    <t>Мастера 40-49 (18.02.1978)/41</t>
  </si>
  <si>
    <t>56,50</t>
  </si>
  <si>
    <t xml:space="preserve">Аренкин И. </t>
  </si>
  <si>
    <t>Юноши 13-19 (30.05.2006)/13</t>
  </si>
  <si>
    <t>5,0</t>
  </si>
  <si>
    <t>10,0</t>
  </si>
  <si>
    <t>Чемпионат мира по стритлифтингу версии WSF
WSF Отжимания
Москва, 4 - 8 декабря 2019 года</t>
  </si>
  <si>
    <t>12,5</t>
  </si>
  <si>
    <t>Марзюк Олег</t>
  </si>
  <si>
    <t>Открытая (23.07.1963)/56</t>
  </si>
  <si>
    <t>Мастера 50-59 (23.07.1963)/56</t>
  </si>
  <si>
    <t>Пристром Сергей</t>
  </si>
  <si>
    <t>Открытая (27.12.1989)/29</t>
  </si>
  <si>
    <t>61,50</t>
  </si>
  <si>
    <t>Беллуччи Андрэа</t>
  </si>
  <si>
    <t>Мастера 40-49 (18.10.1973)/46</t>
  </si>
  <si>
    <t xml:space="preserve"> ITA/Aretstso</t>
  </si>
  <si>
    <t>Малеев Ю.</t>
  </si>
  <si>
    <t>Попков Александр</t>
  </si>
  <si>
    <t>Открытая (02.12.1987)/32</t>
  </si>
  <si>
    <t>75,50</t>
  </si>
  <si>
    <t>Чемпионат мира по стритлифтингу версии WSF
WSF Подтягивания многоповторные 15кг
Москва, 4 - 8 декабря 2019 года</t>
  </si>
  <si>
    <t>Подтягивания многоповторные</t>
  </si>
  <si>
    <t>Коновалюк Инна</t>
  </si>
  <si>
    <t>63,10</t>
  </si>
  <si>
    <t xml:space="preserve">RUS/Козельск </t>
  </si>
  <si>
    <t>Бикулов Шамиль</t>
  </si>
  <si>
    <t>Юниоры 20-23 (16.03.1997)/22</t>
  </si>
  <si>
    <t>78,80</t>
  </si>
  <si>
    <t>Мастера 40-49 (27.11.1973)/46</t>
  </si>
  <si>
    <t>Чемпионат мира по стритлифтингу версии WSF
WSF Подтягивания многоповторные 10кг
Москва, 4 - 8 декабря 2019 года</t>
  </si>
  <si>
    <t>Бикулов Наиль</t>
  </si>
  <si>
    <t>Юноши 13-19 (17.09.2003)/16</t>
  </si>
  <si>
    <t>Мифтяхетдинов Айрат</t>
  </si>
  <si>
    <t>Юноши 13-19 (21.09.2003)/16</t>
  </si>
  <si>
    <t xml:space="preserve"> RUS/Долгопрудный</t>
  </si>
  <si>
    <t>Чемпионат мира по стритлифтингу версии WSF
WSF Отжимания многоповторные 50кг
Москва, 4 - 8 декабря 2019 года</t>
  </si>
  <si>
    <t>Отжимания многоповторные</t>
  </si>
  <si>
    <t>ВЕСОВАЯ КАТЕГОРИЯ   100+</t>
  </si>
  <si>
    <t xml:space="preserve"> RUS/Воронеж </t>
  </si>
  <si>
    <t>Чемпионат мира по стритлифтингу версии WSF
WSF Отжимания многоповторные 35кг
Москва, 4 - 8 декабря 2019 года</t>
  </si>
  <si>
    <t>Михайлов Даниил</t>
  </si>
  <si>
    <t>Открытая (17.03.1999)/20</t>
  </si>
  <si>
    <t>77,00</t>
  </si>
  <si>
    <t xml:space="preserve">Михайлов И. </t>
  </si>
  <si>
    <t>Чемпионат мира по стритлифтингу версии WSF
WSF Отжимания многоповторные 25кг
Москва, 4 - 8 декабря 2019 года</t>
  </si>
  <si>
    <t>Чемпионат мира по стритлифтингу версии WSF
WSF Отжимания многоповторные 15кг
Москва, 4 - 8 декабря 2019 года</t>
  </si>
  <si>
    <t>Санников Александр</t>
  </si>
  <si>
    <t xml:space="preserve">Сущенко А. </t>
  </si>
  <si>
    <t>V Чемпионат мира WRPF
WRPF PRO Пауэрлифтинг без экипировки
Москва, 4 - 8 декабря 2019 года</t>
  </si>
  <si>
    <t>Ким Андрей</t>
  </si>
  <si>
    <t>Насонов Дмитрий</t>
  </si>
  <si>
    <t>Открытая (13.02.1992)/27</t>
  </si>
  <si>
    <t>Mohammad Raeisi</t>
  </si>
  <si>
    <t>Открытая (05.04.1997)/22</t>
  </si>
  <si>
    <t>346,0</t>
  </si>
  <si>
    <t>Ступников Роман</t>
  </si>
  <si>
    <t>175,5</t>
  </si>
  <si>
    <t>Шихгасанов Рамазан</t>
  </si>
  <si>
    <t>Открытая (23.02.1995)/24</t>
  </si>
  <si>
    <t>Климов Руслан</t>
  </si>
  <si>
    <t>Открытая (05.07.1997)/22</t>
  </si>
  <si>
    <t xml:space="preserve">Алейников Ю. </t>
  </si>
  <si>
    <t>Долгов Эдуард</t>
  </si>
  <si>
    <t>Басиров Рустам</t>
  </si>
  <si>
    <t>Открытая (31.07.1989)/30</t>
  </si>
  <si>
    <t>Антоняк Роман</t>
  </si>
  <si>
    <t>Открытая (08.03.1993)/26</t>
  </si>
  <si>
    <t xml:space="preserve">RUS/Воркута </t>
  </si>
  <si>
    <t>Воробьев Игорь</t>
  </si>
  <si>
    <t>Открытая (18.06.1994)/25</t>
  </si>
  <si>
    <t>Денисов Александр</t>
  </si>
  <si>
    <t xml:space="preserve">UKR/Кривой Рог </t>
  </si>
  <si>
    <t>Козырь Тимур</t>
  </si>
  <si>
    <t>Открытая (28.02.1988)/31</t>
  </si>
  <si>
    <t xml:space="preserve">RUS/Адыгейск </t>
  </si>
  <si>
    <t xml:space="preserve">Гаджикурбанов Б. </t>
  </si>
  <si>
    <t>Васильев Богдан</t>
  </si>
  <si>
    <t>Открытая (26.12.1994)/24</t>
  </si>
  <si>
    <t>91,40</t>
  </si>
  <si>
    <t>Мусиенко Егор</t>
  </si>
  <si>
    <t>Открытая (15.06.1993)/26</t>
  </si>
  <si>
    <t xml:space="preserve">RUS/Хабаровск </t>
  </si>
  <si>
    <t>405,0</t>
  </si>
  <si>
    <t>425,0</t>
  </si>
  <si>
    <t>Черненко Андрей</t>
  </si>
  <si>
    <t>Открытая (12.04.1993)/26</t>
  </si>
  <si>
    <t>Fazekas Janos</t>
  </si>
  <si>
    <t>Открытая (16.09.1987)/32</t>
  </si>
  <si>
    <t xml:space="preserve">HUN/Budapest </t>
  </si>
  <si>
    <t>Марченко Владимир</t>
  </si>
  <si>
    <t>Открытая (19.10.1984)/35</t>
  </si>
  <si>
    <t>Амирханов Амирхан</t>
  </si>
  <si>
    <t>Открытая (04.11.1986)/33</t>
  </si>
  <si>
    <t xml:space="preserve">RUS/Заволжск </t>
  </si>
  <si>
    <t xml:space="preserve">Амирханов М. </t>
  </si>
  <si>
    <t>Бебенин Григорий</t>
  </si>
  <si>
    <t>Открытая (02.04.1993)/26</t>
  </si>
  <si>
    <t>Bouafia Mohamed</t>
  </si>
  <si>
    <t>Открытая (15.12.1976)/42</t>
  </si>
  <si>
    <t>136,90</t>
  </si>
  <si>
    <t xml:space="preserve">DZA/Oran </t>
  </si>
  <si>
    <t>415,0</t>
  </si>
  <si>
    <t>Луговой Александр</t>
  </si>
  <si>
    <t>Открытая (28.10.1995)/24</t>
  </si>
  <si>
    <t>129,10</t>
  </si>
  <si>
    <t>395,0</t>
  </si>
  <si>
    <t>Наконечный Павло</t>
  </si>
  <si>
    <t>Открытая (12.07.1997)/22</t>
  </si>
  <si>
    <t>182,20</t>
  </si>
  <si>
    <t xml:space="preserve">UKR/Львов </t>
  </si>
  <si>
    <t>460,0</t>
  </si>
  <si>
    <t xml:space="preserve">Осипчук С. </t>
  </si>
  <si>
    <t>Абиджба Роман</t>
  </si>
  <si>
    <t>Открытая (27.04.1988)/31</t>
  </si>
  <si>
    <t>147,10</t>
  </si>
  <si>
    <t>Рябенков Иван</t>
  </si>
  <si>
    <t>Открытая (14.01.1996)/23</t>
  </si>
  <si>
    <t>155,00</t>
  </si>
  <si>
    <t>422,5</t>
  </si>
  <si>
    <t>Абсолютный зачёт по коэффициенту Wilks</t>
  </si>
  <si>
    <t>880,0</t>
  </si>
  <si>
    <t>592,1520</t>
  </si>
  <si>
    <t>1000,0</t>
  </si>
  <si>
    <t>589,0000</t>
  </si>
  <si>
    <t>587,3280</t>
  </si>
  <si>
    <t>Абсолютный зачёт по абсолютно поднятому весу</t>
  </si>
  <si>
    <t>1075,0</t>
  </si>
  <si>
    <t>985,0</t>
  </si>
  <si>
    <t>V Чемпионат мира WRPF
WRPF PRO Жим лежа без экипировки
Москва, 4 - 8 декабря 2019 года</t>
  </si>
  <si>
    <t>Yeremashvili Roman</t>
  </si>
  <si>
    <t>Открытая (27.05.1981)/38</t>
  </si>
  <si>
    <t>Милостной Станислав</t>
  </si>
  <si>
    <t>Открытая (19.01.1978)/41</t>
  </si>
  <si>
    <t>Сапожонков Андрей</t>
  </si>
  <si>
    <t>Открытая (01.01.1987)/32</t>
  </si>
  <si>
    <t xml:space="preserve">RUS/Талдом </t>
  </si>
  <si>
    <t>276,0</t>
  </si>
  <si>
    <t>Волоский Евгений</t>
  </si>
  <si>
    <t>Открытая (18.11.1987)/32</t>
  </si>
  <si>
    <t>91,90</t>
  </si>
  <si>
    <t>Kreinis Pavel</t>
  </si>
  <si>
    <t>Михнев Валерий</t>
  </si>
  <si>
    <t>Открытая (10.10.1985)/34</t>
  </si>
  <si>
    <t>Дьяконов Дмитрий</t>
  </si>
  <si>
    <t>Открытая (07.07.1988)/31</t>
  </si>
  <si>
    <t>Алибегов Мурад</t>
  </si>
  <si>
    <t>Открытая (13.02.1974)/45</t>
  </si>
  <si>
    <t>Соловьев Алексей</t>
  </si>
  <si>
    <t>Открытая (01.07.1990)/29</t>
  </si>
  <si>
    <t>112,10</t>
  </si>
  <si>
    <t>Ильхасан Ибрагим</t>
  </si>
  <si>
    <t xml:space="preserve">Хасая Х., Боговаров С. </t>
  </si>
  <si>
    <t>Фотин Александр</t>
  </si>
  <si>
    <t>Открытая (09.03.1991)/28</t>
  </si>
  <si>
    <t>Шатило Алексей</t>
  </si>
  <si>
    <t>Открытая (19.04.1986)/33</t>
  </si>
  <si>
    <t>Маркелов Алексей</t>
  </si>
  <si>
    <t>115,80</t>
  </si>
  <si>
    <t>Лисютин Максим</t>
  </si>
  <si>
    <t>Открытая (24.04.1985)/34</t>
  </si>
  <si>
    <t>Кудряшов Владимир</t>
  </si>
  <si>
    <t>Открытая (05.11.1985)/34</t>
  </si>
  <si>
    <t xml:space="preserve">Алибегов М. </t>
  </si>
  <si>
    <t>Колохин Павел</t>
  </si>
  <si>
    <t>Открытая (02.07.1984)/35</t>
  </si>
  <si>
    <t>134,90</t>
  </si>
  <si>
    <t xml:space="preserve">RUS/Судогда </t>
  </si>
  <si>
    <t>Isajevs Peteris</t>
  </si>
  <si>
    <t>Открытая (20.02.1984)/35</t>
  </si>
  <si>
    <t>134,30</t>
  </si>
  <si>
    <t>Климов Павел</t>
  </si>
  <si>
    <t>Открытая (27.03.1991)/28</t>
  </si>
  <si>
    <t>145,00</t>
  </si>
  <si>
    <t>Кушхов Асланбек</t>
  </si>
  <si>
    <t>Открытая (16.05.1984)/35</t>
  </si>
  <si>
    <t>143,40</t>
  </si>
  <si>
    <t xml:space="preserve">RUS/Нарткала </t>
  </si>
  <si>
    <t xml:space="preserve">Челабко В. </t>
  </si>
  <si>
    <t>176,3916</t>
  </si>
  <si>
    <t>172,8525</t>
  </si>
  <si>
    <t>164,1135</t>
  </si>
  <si>
    <t>V Чемпионат мира WRPF
WRPF PRO Становая тяга без экипировки
Москва, 4 - 8 декабря 2019 года</t>
  </si>
  <si>
    <t>Попов Максим</t>
  </si>
  <si>
    <t>Открытая (03.09.1984)/35</t>
  </si>
  <si>
    <t>Палоян Вартан</t>
  </si>
  <si>
    <t>321,0</t>
  </si>
  <si>
    <t>Kurek Oliver</t>
  </si>
  <si>
    <t>Открытая (23.03.1999)/20</t>
  </si>
  <si>
    <t>Кравченко Владислав</t>
  </si>
  <si>
    <t>Открытая (17.03.1995)/24</t>
  </si>
  <si>
    <t>Бабин Владимир</t>
  </si>
  <si>
    <t>Открытая (09.08.1992)/27</t>
  </si>
  <si>
    <t>400,5</t>
  </si>
  <si>
    <t>Федоров Илья</t>
  </si>
  <si>
    <t>Открытая (29.08.1992)/27</t>
  </si>
  <si>
    <t>Тимофеев Дмитрий</t>
  </si>
  <si>
    <t>Открытая (21.02.1987)/32</t>
  </si>
  <si>
    <t>Рахимов Евгений</t>
  </si>
  <si>
    <t>Кравченко Евгений</t>
  </si>
  <si>
    <t>Открытая (03.11.1986)/33</t>
  </si>
  <si>
    <t>Гущин Сергей</t>
  </si>
  <si>
    <t>Открытая (15.11.1974)/45</t>
  </si>
  <si>
    <t>Открытая (09.06.1990)/29</t>
  </si>
  <si>
    <t>352,5</t>
  </si>
  <si>
    <t xml:space="preserve"> IRN/Тегеран</t>
  </si>
  <si>
    <t>Крот Артем</t>
  </si>
  <si>
    <t>Открытая (03.10.1995)/24</t>
  </si>
  <si>
    <t xml:space="preserve">Щербаков К. </t>
  </si>
  <si>
    <t>Ким Михаил</t>
  </si>
  <si>
    <t>Открытая (13.11.1980)/39</t>
  </si>
  <si>
    <t>101,60</t>
  </si>
  <si>
    <t>Кодис Александр</t>
  </si>
  <si>
    <t>Открытая (16.08.1987)/32</t>
  </si>
  <si>
    <t>105,90</t>
  </si>
  <si>
    <t>367,5</t>
  </si>
  <si>
    <t>372,5</t>
  </si>
  <si>
    <t>Курмей Денис</t>
  </si>
  <si>
    <t>Открытая (21.10.1987)/32</t>
  </si>
  <si>
    <t xml:space="preserve">RUS/Руза </t>
  </si>
  <si>
    <t xml:space="preserve">Трубичкин Я. </t>
  </si>
  <si>
    <t>Kiss Adam</t>
  </si>
  <si>
    <t>Открытая (16.05.1997)/22</t>
  </si>
  <si>
    <t>Морозов Константин</t>
  </si>
  <si>
    <t>Открытая (23.10.1984)/35</t>
  </si>
  <si>
    <t>427,5</t>
  </si>
  <si>
    <t>Maheripourehir Peiman</t>
  </si>
  <si>
    <t>Открытая (10.05.1987)/32</t>
  </si>
  <si>
    <t>157,10</t>
  </si>
  <si>
    <t>262,4310</t>
  </si>
  <si>
    <t>238,8350</t>
  </si>
  <si>
    <t>Командное первенство V Чемпионата мира WRPF</t>
  </si>
  <si>
    <t>Малый командный зачет</t>
  </si>
  <si>
    <t>1 место</t>
  </si>
  <si>
    <t>Любера</t>
  </si>
  <si>
    <t>2 место</t>
  </si>
  <si>
    <t>Вольные стрелки</t>
  </si>
  <si>
    <t>3 место</t>
  </si>
  <si>
    <t>Шторм</t>
  </si>
  <si>
    <t>Командный зачет по странам</t>
  </si>
  <si>
    <t>Россия</t>
  </si>
  <si>
    <t>Казахстан</t>
  </si>
  <si>
    <t>Беларусь</t>
  </si>
  <si>
    <t>Судейская коллегия V Чемпионата мира WRPF</t>
  </si>
  <si>
    <t>Главный судья соревнований:</t>
  </si>
  <si>
    <t>Длужневская Эльвира/ МК, Вологда</t>
  </si>
  <si>
    <t>Главный секретарь соревнований:</t>
  </si>
  <si>
    <t>Новиков Степан/ МК, Вологда</t>
  </si>
  <si>
    <t>Секретари:</t>
  </si>
  <si>
    <t>Эфендиева Эльмира/ Волжский</t>
  </si>
  <si>
    <t>Максимкин Даниил/ РК, Тольятти</t>
  </si>
  <si>
    <t>Шумкова Анастасия/ РК, Нижний Новгород</t>
  </si>
  <si>
    <t>Кускова Владислава/ Вологда</t>
  </si>
  <si>
    <t>Цоколов Олег/ РК, Ставрополь</t>
  </si>
  <si>
    <t>Чарикова Анастасия/ Воронеж</t>
  </si>
  <si>
    <t>Резников Ярослав/ РК, Симферополь</t>
  </si>
  <si>
    <t>Адрионов Игорь/ Москва</t>
  </si>
  <si>
    <t>Маканов Владимир/ Москва</t>
  </si>
  <si>
    <t>Сивакова Валерия/ Москва</t>
  </si>
  <si>
    <t>Стафееа Ангелина/ Петрозаводск</t>
  </si>
  <si>
    <t>Шатохин Юрий/ Москва</t>
  </si>
  <si>
    <t>Шевелева Екатерина/ НК, Воронеж</t>
  </si>
  <si>
    <t>Судьи:</t>
  </si>
  <si>
    <t>Кузнецов Руслан/ НК, Вологда</t>
  </si>
  <si>
    <t>Плонин Владимир/ РК, Иваново</t>
  </si>
  <si>
    <t>Архипов Денис/ РК, Воронеж</t>
  </si>
  <si>
    <t>Сагдиев Рустем/ НК, Набережные Челны</t>
  </si>
  <si>
    <t>Рябинников Олег/ МК, Москва</t>
  </si>
  <si>
    <t>Тушин Алексей/ РК, Москва</t>
  </si>
  <si>
    <t>Руссу Нина/ РК, Москва</t>
  </si>
  <si>
    <t>Ильченко Андрей/ НК, Ставрополь</t>
  </si>
  <si>
    <t>Ворожейкина Алеся/ РК, Москва</t>
  </si>
  <si>
    <t>Обухов Филипп/ РК, Киров</t>
  </si>
  <si>
    <t>Макеев Андрей/ НК, Волжский</t>
  </si>
  <si>
    <t>Щемененко Вадим/ РК,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</si>
</sst>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0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sz val="18"/>
      <name val="Arial Cyr"/>
      <charset val="204"/>
    </font>
    <font>
      <b/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  <fill>
      <patternFill patternType="solid">
        <fgColor rgb="FFD7E4BE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23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1" fillId="2" borderId="28" xfId="0" applyNumberFormat="1" applyFont="1" applyFill="1" applyBorder="1" applyAlignment="1">
      <alignment horizontal="center" vertical="center"/>
    </xf>
    <xf numFmtId="164" fontId="1" fillId="0" borderId="28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0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49" fontId="1" fillId="2" borderId="33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36" xfId="0" applyNumberFormat="1" applyFont="1" applyFill="1" applyBorder="1" applyAlignment="1">
      <alignment horizontal="center" vertical="center"/>
    </xf>
    <xf numFmtId="49" fontId="0" fillId="0" borderId="37" xfId="0" applyNumberFormat="1" applyFont="1" applyFill="1" applyBorder="1" applyAlignment="1">
      <alignment horizontal="center" vertical="center"/>
    </xf>
    <xf numFmtId="49" fontId="1" fillId="2" borderId="35" xfId="0" applyNumberFormat="1" applyFont="1" applyFill="1" applyBorder="1" applyAlignment="1">
      <alignment horizontal="center" vertical="center"/>
    </xf>
    <xf numFmtId="49" fontId="1" fillId="2" borderId="36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49" fontId="1" fillId="2" borderId="37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U272"/>
  <sheetViews>
    <sheetView topLeftCell="A198" workbookViewId="0">
      <selection sqref="A1:U2"/>
    </sheetView>
  </sheetViews>
  <sheetFormatPr defaultColWidth="9.140625" defaultRowHeight="12.95"/>
  <cols>
    <col min="1" max="1" width="7.42578125" style="6" bestFit="1" customWidth="1"/>
    <col min="2" max="2" width="25.42578125" style="5" bestFit="1" customWidth="1"/>
    <col min="3" max="3" width="27.85546875" style="5" customWidth="1"/>
    <col min="4" max="4" width="21.42578125" style="5" bestFit="1" customWidth="1"/>
    <col min="5" max="5" width="10.42578125" style="5" bestFit="1" customWidth="1"/>
    <col min="6" max="6" width="23.85546875" style="5" bestFit="1" customWidth="1"/>
    <col min="7" max="9" width="5.42578125" style="6" bestFit="1" customWidth="1"/>
    <col min="10" max="10" width="4.85546875" style="6" bestFit="1" customWidth="1"/>
    <col min="11" max="17" width="5.42578125" style="6" bestFit="1" customWidth="1"/>
    <col min="18" max="18" width="4.85546875" style="6" bestFit="1" customWidth="1"/>
    <col min="19" max="19" width="7.85546875" style="39" bestFit="1" customWidth="1"/>
    <col min="20" max="20" width="8.42578125" style="6" bestFit="1" customWidth="1"/>
    <col min="21" max="21" width="19.85546875" style="5" bestFit="1" customWidth="1"/>
    <col min="22" max="16384" width="9.140625" style="3"/>
  </cols>
  <sheetData>
    <row r="1" spans="1:21" s="2" customFormat="1" ht="29.1" customHeight="1">
      <c r="A1" s="103" t="s">
        <v>0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/>
    </row>
    <row r="2" spans="1:21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9"/>
    </row>
    <row r="3" spans="1:21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5</v>
      </c>
      <c r="F3" s="114" t="s">
        <v>6</v>
      </c>
      <c r="G3" s="114" t="s">
        <v>7</v>
      </c>
      <c r="H3" s="114"/>
      <c r="I3" s="114"/>
      <c r="J3" s="114"/>
      <c r="K3" s="114" t="s">
        <v>8</v>
      </c>
      <c r="L3" s="114"/>
      <c r="M3" s="114"/>
      <c r="N3" s="114"/>
      <c r="O3" s="114" t="s">
        <v>9</v>
      </c>
      <c r="P3" s="114"/>
      <c r="Q3" s="114"/>
      <c r="R3" s="114"/>
      <c r="S3" s="117" t="s">
        <v>10</v>
      </c>
      <c r="T3" s="114" t="s">
        <v>11</v>
      </c>
      <c r="U3" s="99" t="s">
        <v>12</v>
      </c>
    </row>
    <row r="4" spans="1:21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96">
        <v>1</v>
      </c>
      <c r="L4" s="96">
        <v>2</v>
      </c>
      <c r="M4" s="96">
        <v>3</v>
      </c>
      <c r="N4" s="96" t="s">
        <v>13</v>
      </c>
      <c r="O4" s="96">
        <v>1</v>
      </c>
      <c r="P4" s="96">
        <v>2</v>
      </c>
      <c r="Q4" s="96">
        <v>3</v>
      </c>
      <c r="R4" s="96" t="s">
        <v>13</v>
      </c>
      <c r="S4" s="118"/>
      <c r="T4" s="113"/>
      <c r="U4" s="100"/>
    </row>
    <row r="5" spans="1:21" ht="15.95">
      <c r="A5" s="101" t="s">
        <v>14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1:21">
      <c r="A6" s="13" t="s">
        <v>15</v>
      </c>
      <c r="B6" s="11" t="s">
        <v>16</v>
      </c>
      <c r="C6" s="11" t="s">
        <v>17</v>
      </c>
      <c r="D6" s="11" t="s">
        <v>18</v>
      </c>
      <c r="E6" s="11" t="str">
        <f>"1,4660"</f>
        <v>1,4660</v>
      </c>
      <c r="F6" s="11" t="s">
        <v>19</v>
      </c>
      <c r="G6" s="12" t="s">
        <v>20</v>
      </c>
      <c r="H6" s="12" t="s">
        <v>21</v>
      </c>
      <c r="I6" s="21" t="s">
        <v>22</v>
      </c>
      <c r="J6" s="13"/>
      <c r="K6" s="21" t="s">
        <v>23</v>
      </c>
      <c r="L6" s="12" t="s">
        <v>23</v>
      </c>
      <c r="M6" s="21" t="s">
        <v>24</v>
      </c>
      <c r="N6" s="13"/>
      <c r="O6" s="12" t="s">
        <v>25</v>
      </c>
      <c r="P6" s="21" t="s">
        <v>26</v>
      </c>
      <c r="Q6" s="12" t="s">
        <v>26</v>
      </c>
      <c r="R6" s="13"/>
      <c r="S6" s="37" t="str">
        <f>"122,5"</f>
        <v>122,5</v>
      </c>
      <c r="T6" s="13" t="str">
        <f>"179,5850"</f>
        <v>179,5850</v>
      </c>
      <c r="U6" s="11" t="s">
        <v>27</v>
      </c>
    </row>
    <row r="7" spans="1:21">
      <c r="A7" s="20" t="s">
        <v>15</v>
      </c>
      <c r="B7" s="18" t="s">
        <v>28</v>
      </c>
      <c r="C7" s="18" t="s">
        <v>29</v>
      </c>
      <c r="D7" s="18" t="s">
        <v>30</v>
      </c>
      <c r="E7" s="18" t="str">
        <f>"1,4123"</f>
        <v>1,4123</v>
      </c>
      <c r="F7" s="18" t="s">
        <v>31</v>
      </c>
      <c r="G7" s="19" t="s">
        <v>32</v>
      </c>
      <c r="H7" s="22" t="s">
        <v>33</v>
      </c>
      <c r="I7" s="19" t="s">
        <v>33</v>
      </c>
      <c r="J7" s="20"/>
      <c r="K7" s="19" t="s">
        <v>34</v>
      </c>
      <c r="L7" s="19" t="s">
        <v>35</v>
      </c>
      <c r="M7" s="19" t="s">
        <v>26</v>
      </c>
      <c r="N7" s="20"/>
      <c r="O7" s="19" t="s">
        <v>36</v>
      </c>
      <c r="P7" s="19" t="s">
        <v>37</v>
      </c>
      <c r="Q7" s="19" t="s">
        <v>38</v>
      </c>
      <c r="R7" s="20"/>
      <c r="S7" s="38" t="str">
        <f>"230,0"</f>
        <v>230,0</v>
      </c>
      <c r="T7" s="20" t="str">
        <f>"324,8290"</f>
        <v>324,8290</v>
      </c>
      <c r="U7" s="18" t="s">
        <v>39</v>
      </c>
    </row>
    <row r="8" spans="1:21">
      <c r="B8" s="5" t="s">
        <v>40</v>
      </c>
    </row>
    <row r="9" spans="1:21" ht="15.95">
      <c r="A9" s="102" t="s">
        <v>41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</row>
    <row r="10" spans="1:21">
      <c r="A10" s="13" t="s">
        <v>15</v>
      </c>
      <c r="B10" s="11" t="s">
        <v>42</v>
      </c>
      <c r="C10" s="11" t="s">
        <v>43</v>
      </c>
      <c r="D10" s="11" t="s">
        <v>44</v>
      </c>
      <c r="E10" s="11" t="str">
        <f>"1,3244"</f>
        <v>1,3244</v>
      </c>
      <c r="F10" s="11" t="s">
        <v>45</v>
      </c>
      <c r="G10" s="12" t="s">
        <v>37</v>
      </c>
      <c r="H10" s="12" t="s">
        <v>46</v>
      </c>
      <c r="I10" s="12" t="s">
        <v>47</v>
      </c>
      <c r="J10" s="13"/>
      <c r="K10" s="12" t="s">
        <v>26</v>
      </c>
      <c r="L10" s="21" t="s">
        <v>48</v>
      </c>
      <c r="M10" s="21" t="s">
        <v>48</v>
      </c>
      <c r="N10" s="13"/>
      <c r="O10" s="21" t="s">
        <v>38</v>
      </c>
      <c r="P10" s="12" t="s">
        <v>38</v>
      </c>
      <c r="Q10" s="21" t="s">
        <v>49</v>
      </c>
      <c r="R10" s="13"/>
      <c r="S10" s="37" t="str">
        <f>"267,5"</f>
        <v>267,5</v>
      </c>
      <c r="T10" s="13" t="str">
        <f>"354,2770"</f>
        <v>354,2770</v>
      </c>
      <c r="U10" s="11" t="s">
        <v>50</v>
      </c>
    </row>
    <row r="11" spans="1:21">
      <c r="A11" s="17" t="s">
        <v>15</v>
      </c>
      <c r="B11" s="14" t="s">
        <v>51</v>
      </c>
      <c r="C11" s="14" t="s">
        <v>52</v>
      </c>
      <c r="D11" s="14" t="s">
        <v>53</v>
      </c>
      <c r="E11" s="14" t="str">
        <f>"1,3285"</f>
        <v>1,3285</v>
      </c>
      <c r="F11" s="14" t="s">
        <v>54</v>
      </c>
      <c r="G11" s="15" t="s">
        <v>47</v>
      </c>
      <c r="H11" s="15" t="s">
        <v>55</v>
      </c>
      <c r="I11" s="15" t="s">
        <v>56</v>
      </c>
      <c r="J11" s="17"/>
      <c r="K11" s="15" t="s">
        <v>26</v>
      </c>
      <c r="L11" s="15" t="s">
        <v>32</v>
      </c>
      <c r="M11" s="16" t="s">
        <v>57</v>
      </c>
      <c r="N11" s="17"/>
      <c r="O11" s="15" t="s">
        <v>58</v>
      </c>
      <c r="P11" s="15" t="s">
        <v>59</v>
      </c>
      <c r="Q11" s="16" t="s">
        <v>60</v>
      </c>
      <c r="R11" s="17"/>
      <c r="S11" s="40" t="str">
        <f>"325,0"</f>
        <v>325,0</v>
      </c>
      <c r="T11" s="17" t="str">
        <f>"431,7625"</f>
        <v>431,7625</v>
      </c>
      <c r="U11" s="14" t="s">
        <v>61</v>
      </c>
    </row>
    <row r="12" spans="1:21">
      <c r="A12" s="17" t="s">
        <v>62</v>
      </c>
      <c r="B12" s="14" t="s">
        <v>63</v>
      </c>
      <c r="C12" s="14" t="s">
        <v>64</v>
      </c>
      <c r="D12" s="14" t="s">
        <v>65</v>
      </c>
      <c r="E12" s="14" t="str">
        <f>"1,3573"</f>
        <v>1,3573</v>
      </c>
      <c r="F12" s="14" t="s">
        <v>66</v>
      </c>
      <c r="G12" s="15" t="s">
        <v>67</v>
      </c>
      <c r="H12" s="15" t="s">
        <v>36</v>
      </c>
      <c r="I12" s="15" t="s">
        <v>68</v>
      </c>
      <c r="J12" s="17"/>
      <c r="K12" s="15" t="s">
        <v>25</v>
      </c>
      <c r="L12" s="16" t="s">
        <v>26</v>
      </c>
      <c r="M12" s="15" t="s">
        <v>26</v>
      </c>
      <c r="N12" s="17"/>
      <c r="O12" s="15" t="s">
        <v>69</v>
      </c>
      <c r="P12" s="15" t="s">
        <v>70</v>
      </c>
      <c r="Q12" s="16" t="s">
        <v>71</v>
      </c>
      <c r="R12" s="17"/>
      <c r="S12" s="40" t="str">
        <f>"272,5"</f>
        <v>272,5</v>
      </c>
      <c r="T12" s="17" t="str">
        <f>"369,8643"</f>
        <v>369,8643</v>
      </c>
      <c r="U12" s="14" t="s">
        <v>72</v>
      </c>
    </row>
    <row r="13" spans="1:21">
      <c r="A13" s="17" t="s">
        <v>73</v>
      </c>
      <c r="B13" s="14" t="s">
        <v>42</v>
      </c>
      <c r="C13" s="14" t="s">
        <v>74</v>
      </c>
      <c r="D13" s="14" t="s">
        <v>44</v>
      </c>
      <c r="E13" s="14" t="str">
        <f>"1,3244"</f>
        <v>1,3244</v>
      </c>
      <c r="F13" s="14" t="s">
        <v>45</v>
      </c>
      <c r="G13" s="15" t="s">
        <v>37</v>
      </c>
      <c r="H13" s="15" t="s">
        <v>46</v>
      </c>
      <c r="I13" s="15" t="s">
        <v>47</v>
      </c>
      <c r="J13" s="17"/>
      <c r="K13" s="15" t="s">
        <v>26</v>
      </c>
      <c r="L13" s="16" t="s">
        <v>48</v>
      </c>
      <c r="M13" s="16" t="s">
        <v>48</v>
      </c>
      <c r="N13" s="17"/>
      <c r="O13" s="16" t="s">
        <v>38</v>
      </c>
      <c r="P13" s="15" t="s">
        <v>38</v>
      </c>
      <c r="Q13" s="16" t="s">
        <v>49</v>
      </c>
      <c r="R13" s="17"/>
      <c r="S13" s="40" t="str">
        <f>"267,5"</f>
        <v>267,5</v>
      </c>
      <c r="T13" s="17" t="str">
        <f>"354,2770"</f>
        <v>354,2770</v>
      </c>
      <c r="U13" s="14" t="s">
        <v>50</v>
      </c>
    </row>
    <row r="14" spans="1:21">
      <c r="A14" s="17" t="s">
        <v>75</v>
      </c>
      <c r="B14" s="14" t="s">
        <v>76</v>
      </c>
      <c r="C14" s="14" t="s">
        <v>77</v>
      </c>
      <c r="D14" s="14" t="s">
        <v>78</v>
      </c>
      <c r="E14" s="14" t="str">
        <f>"1,3265"</f>
        <v>1,3265</v>
      </c>
      <c r="F14" s="14" t="s">
        <v>79</v>
      </c>
      <c r="G14" s="16" t="s">
        <v>80</v>
      </c>
      <c r="H14" s="15" t="s">
        <v>80</v>
      </c>
      <c r="I14" s="16" t="s">
        <v>81</v>
      </c>
      <c r="J14" s="17"/>
      <c r="K14" s="15" t="s">
        <v>22</v>
      </c>
      <c r="L14" s="15" t="s">
        <v>82</v>
      </c>
      <c r="M14" s="15" t="s">
        <v>83</v>
      </c>
      <c r="N14" s="17"/>
      <c r="O14" s="15" t="s">
        <v>84</v>
      </c>
      <c r="P14" s="15" t="s">
        <v>85</v>
      </c>
      <c r="Q14" s="15" t="s">
        <v>71</v>
      </c>
      <c r="R14" s="17"/>
      <c r="S14" s="40" t="str">
        <f>"252,5"</f>
        <v>252,5</v>
      </c>
      <c r="T14" s="17" t="str">
        <f>"334,9413"</f>
        <v>334,9413</v>
      </c>
      <c r="U14" s="14" t="s">
        <v>86</v>
      </c>
    </row>
    <row r="15" spans="1:21">
      <c r="A15" s="17" t="s">
        <v>87</v>
      </c>
      <c r="B15" s="14" t="s">
        <v>88</v>
      </c>
      <c r="C15" s="14" t="s">
        <v>89</v>
      </c>
      <c r="D15" s="14" t="s">
        <v>90</v>
      </c>
      <c r="E15" s="14" t="str">
        <f>"1,3326"</f>
        <v>1,3326</v>
      </c>
      <c r="F15" s="14" t="s">
        <v>91</v>
      </c>
      <c r="G15" s="15" t="s">
        <v>67</v>
      </c>
      <c r="H15" s="15" t="s">
        <v>36</v>
      </c>
      <c r="I15" s="15" t="s">
        <v>68</v>
      </c>
      <c r="J15" s="17"/>
      <c r="K15" s="15" t="s">
        <v>20</v>
      </c>
      <c r="L15" s="15" t="s">
        <v>21</v>
      </c>
      <c r="M15" s="15" t="s">
        <v>22</v>
      </c>
      <c r="N15" s="17"/>
      <c r="O15" s="15" t="s">
        <v>37</v>
      </c>
      <c r="P15" s="16" t="s">
        <v>38</v>
      </c>
      <c r="Q15" s="15" t="s">
        <v>38</v>
      </c>
      <c r="R15" s="17"/>
      <c r="S15" s="40" t="str">
        <f>"235,0"</f>
        <v>235,0</v>
      </c>
      <c r="T15" s="17" t="str">
        <f>"313,1610"</f>
        <v>313,1610</v>
      </c>
      <c r="U15" s="14" t="s">
        <v>39</v>
      </c>
    </row>
    <row r="16" spans="1:21">
      <c r="A16" s="20" t="s">
        <v>92</v>
      </c>
      <c r="B16" s="18" t="s">
        <v>93</v>
      </c>
      <c r="C16" s="18" t="s">
        <v>94</v>
      </c>
      <c r="D16" s="18" t="s">
        <v>95</v>
      </c>
      <c r="E16" s="18" t="str">
        <f>"1,3511"</f>
        <v>1,3511</v>
      </c>
      <c r="F16" s="18" t="s">
        <v>96</v>
      </c>
      <c r="G16" s="22" t="s">
        <v>25</v>
      </c>
      <c r="H16" s="22" t="s">
        <v>25</v>
      </c>
      <c r="I16" s="22" t="s">
        <v>25</v>
      </c>
      <c r="J16" s="20"/>
      <c r="K16" s="20"/>
      <c r="L16" s="20"/>
      <c r="M16" s="20"/>
      <c r="N16" s="20"/>
      <c r="O16" s="20"/>
      <c r="P16" s="20"/>
      <c r="Q16" s="20"/>
      <c r="R16" s="20"/>
      <c r="S16" s="38">
        <v>0</v>
      </c>
      <c r="T16" s="20" t="str">
        <f>"0,0000"</f>
        <v>0,0000</v>
      </c>
      <c r="U16" s="18" t="s">
        <v>97</v>
      </c>
    </row>
    <row r="17" spans="1:21">
      <c r="B17" s="5" t="s">
        <v>40</v>
      </c>
    </row>
    <row r="18" spans="1:21" ht="15.95">
      <c r="A18" s="102" t="s">
        <v>98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</row>
    <row r="19" spans="1:21">
      <c r="A19" s="13" t="s">
        <v>15</v>
      </c>
      <c r="B19" s="11" t="s">
        <v>99</v>
      </c>
      <c r="C19" s="11" t="s">
        <v>100</v>
      </c>
      <c r="D19" s="11" t="s">
        <v>101</v>
      </c>
      <c r="E19" s="11" t="str">
        <f>"1,2866"</f>
        <v>1,2866</v>
      </c>
      <c r="F19" s="11" t="s">
        <v>102</v>
      </c>
      <c r="G19" s="12" t="s">
        <v>35</v>
      </c>
      <c r="H19" s="12" t="s">
        <v>32</v>
      </c>
      <c r="I19" s="13"/>
      <c r="J19" s="13"/>
      <c r="K19" s="12" t="s">
        <v>22</v>
      </c>
      <c r="L19" s="12" t="s">
        <v>82</v>
      </c>
      <c r="M19" s="21" t="s">
        <v>103</v>
      </c>
      <c r="N19" s="13"/>
      <c r="O19" s="12" t="s">
        <v>104</v>
      </c>
      <c r="P19" s="12" t="s">
        <v>67</v>
      </c>
      <c r="Q19" s="21" t="s">
        <v>36</v>
      </c>
      <c r="R19" s="13"/>
      <c r="S19" s="37" t="str">
        <f>"195,0"</f>
        <v>195,0</v>
      </c>
      <c r="T19" s="13" t="str">
        <f>"250,8870"</f>
        <v>250,8870</v>
      </c>
      <c r="U19" s="11" t="s">
        <v>105</v>
      </c>
    </row>
    <row r="20" spans="1:21">
      <c r="A20" s="17" t="s">
        <v>92</v>
      </c>
      <c r="B20" s="14" t="s">
        <v>106</v>
      </c>
      <c r="C20" s="14" t="s">
        <v>107</v>
      </c>
      <c r="D20" s="14" t="s">
        <v>108</v>
      </c>
      <c r="E20" s="14" t="str">
        <f>"1,2466"</f>
        <v>1,2466</v>
      </c>
      <c r="F20" s="14" t="s">
        <v>109</v>
      </c>
      <c r="G20" s="16" t="s">
        <v>36</v>
      </c>
      <c r="H20" s="16" t="s">
        <v>110</v>
      </c>
      <c r="I20" s="16" t="s">
        <v>38</v>
      </c>
      <c r="J20" s="17"/>
      <c r="K20" s="17"/>
      <c r="L20" s="17"/>
      <c r="M20" s="17"/>
      <c r="N20" s="17"/>
      <c r="O20" s="17"/>
      <c r="P20" s="17"/>
      <c r="Q20" s="17"/>
      <c r="R20" s="17"/>
      <c r="S20" s="40" t="str">
        <f>"0.00"</f>
        <v>0.00</v>
      </c>
      <c r="T20" s="17" t="str">
        <f>"0,0000"</f>
        <v>0,0000</v>
      </c>
      <c r="U20" s="14" t="s">
        <v>111</v>
      </c>
    </row>
    <row r="21" spans="1:21">
      <c r="A21" s="17" t="s">
        <v>15</v>
      </c>
      <c r="B21" s="14" t="s">
        <v>112</v>
      </c>
      <c r="C21" s="14" t="s">
        <v>113</v>
      </c>
      <c r="D21" s="14" t="s">
        <v>114</v>
      </c>
      <c r="E21" s="14" t="str">
        <f>"1,2541"</f>
        <v>1,2541</v>
      </c>
      <c r="F21" s="14" t="s">
        <v>115</v>
      </c>
      <c r="G21" s="15" t="s">
        <v>67</v>
      </c>
      <c r="H21" s="15" t="s">
        <v>37</v>
      </c>
      <c r="I21" s="16" t="s">
        <v>38</v>
      </c>
      <c r="J21" s="17"/>
      <c r="K21" s="15" t="s">
        <v>83</v>
      </c>
      <c r="L21" s="15" t="s">
        <v>34</v>
      </c>
      <c r="M21" s="16" t="s">
        <v>25</v>
      </c>
      <c r="N21" s="17"/>
      <c r="O21" s="15" t="s">
        <v>69</v>
      </c>
      <c r="P21" s="15" t="s">
        <v>70</v>
      </c>
      <c r="Q21" s="15" t="s">
        <v>85</v>
      </c>
      <c r="R21" s="17"/>
      <c r="S21" s="40" t="str">
        <f>"275,0"</f>
        <v>275,0</v>
      </c>
      <c r="T21" s="17" t="str">
        <f>"344,8775"</f>
        <v>344,8775</v>
      </c>
      <c r="U21" s="14" t="s">
        <v>116</v>
      </c>
    </row>
    <row r="22" spans="1:21">
      <c r="A22" s="17" t="s">
        <v>62</v>
      </c>
      <c r="B22" s="14" t="s">
        <v>117</v>
      </c>
      <c r="C22" s="14" t="s">
        <v>118</v>
      </c>
      <c r="D22" s="14" t="s">
        <v>114</v>
      </c>
      <c r="E22" s="14" t="str">
        <f>"1,2541"</f>
        <v>1,2541</v>
      </c>
      <c r="F22" s="14" t="s">
        <v>119</v>
      </c>
      <c r="G22" s="15" t="s">
        <v>120</v>
      </c>
      <c r="H22" s="16" t="s">
        <v>68</v>
      </c>
      <c r="I22" s="16" t="s">
        <v>68</v>
      </c>
      <c r="J22" s="17"/>
      <c r="K22" s="15" t="s">
        <v>34</v>
      </c>
      <c r="L22" s="15" t="s">
        <v>25</v>
      </c>
      <c r="M22" s="16" t="s">
        <v>35</v>
      </c>
      <c r="N22" s="17"/>
      <c r="O22" s="15" t="s">
        <v>69</v>
      </c>
      <c r="P22" s="15" t="s">
        <v>56</v>
      </c>
      <c r="Q22" s="16" t="s">
        <v>70</v>
      </c>
      <c r="R22" s="17"/>
      <c r="S22" s="40" t="str">
        <f>"257,5"</f>
        <v>257,5</v>
      </c>
      <c r="T22" s="17" t="str">
        <f>"322,9307"</f>
        <v>322,9307</v>
      </c>
      <c r="U22" s="14" t="s">
        <v>121</v>
      </c>
    </row>
    <row r="23" spans="1:21">
      <c r="A23" s="17" t="s">
        <v>73</v>
      </c>
      <c r="B23" s="14" t="s">
        <v>122</v>
      </c>
      <c r="C23" s="14" t="s">
        <v>123</v>
      </c>
      <c r="D23" s="14" t="s">
        <v>124</v>
      </c>
      <c r="E23" s="14" t="str">
        <f>"1,2578"</f>
        <v>1,2578</v>
      </c>
      <c r="F23" s="14" t="s">
        <v>125</v>
      </c>
      <c r="G23" s="15" t="s">
        <v>37</v>
      </c>
      <c r="H23" s="16" t="s">
        <v>46</v>
      </c>
      <c r="I23" s="16" t="s">
        <v>46</v>
      </c>
      <c r="J23" s="17"/>
      <c r="K23" s="15" t="s">
        <v>82</v>
      </c>
      <c r="L23" s="15" t="s">
        <v>103</v>
      </c>
      <c r="M23" s="16" t="s">
        <v>34</v>
      </c>
      <c r="N23" s="17"/>
      <c r="O23" s="15" t="s">
        <v>37</v>
      </c>
      <c r="P23" s="15" t="s">
        <v>38</v>
      </c>
      <c r="Q23" s="16" t="s">
        <v>49</v>
      </c>
      <c r="R23" s="17"/>
      <c r="S23" s="40" t="str">
        <f>"245,0"</f>
        <v>245,0</v>
      </c>
      <c r="T23" s="17" t="str">
        <f>"308,1610"</f>
        <v>308,1610</v>
      </c>
      <c r="U23" s="14" t="s">
        <v>126</v>
      </c>
    </row>
    <row r="24" spans="1:21">
      <c r="A24" s="17" t="s">
        <v>75</v>
      </c>
      <c r="B24" s="14" t="s">
        <v>127</v>
      </c>
      <c r="C24" s="14" t="s">
        <v>128</v>
      </c>
      <c r="D24" s="14" t="s">
        <v>124</v>
      </c>
      <c r="E24" s="14" t="str">
        <f>"1,2578"</f>
        <v>1,2578</v>
      </c>
      <c r="F24" s="14" t="s">
        <v>129</v>
      </c>
      <c r="G24" s="15" t="s">
        <v>37</v>
      </c>
      <c r="H24" s="16" t="s">
        <v>46</v>
      </c>
      <c r="I24" s="16" t="s">
        <v>46</v>
      </c>
      <c r="J24" s="17"/>
      <c r="K24" s="16" t="s">
        <v>82</v>
      </c>
      <c r="L24" s="15" t="s">
        <v>82</v>
      </c>
      <c r="M24" s="16" t="s">
        <v>83</v>
      </c>
      <c r="N24" s="17"/>
      <c r="O24" s="15" t="s">
        <v>36</v>
      </c>
      <c r="P24" s="15" t="s">
        <v>38</v>
      </c>
      <c r="Q24" s="17"/>
      <c r="R24" s="17"/>
      <c r="S24" s="40" t="str">
        <f>"240,0"</f>
        <v>240,0</v>
      </c>
      <c r="T24" s="17" t="str">
        <f>"301,8720"</f>
        <v>301,8720</v>
      </c>
      <c r="U24" s="14" t="s">
        <v>130</v>
      </c>
    </row>
    <row r="25" spans="1:21">
      <c r="A25" s="17" t="s">
        <v>87</v>
      </c>
      <c r="B25" s="14" t="s">
        <v>131</v>
      </c>
      <c r="C25" s="14" t="s">
        <v>132</v>
      </c>
      <c r="D25" s="14" t="s">
        <v>133</v>
      </c>
      <c r="E25" s="14" t="str">
        <f>"1,2635"</f>
        <v>1,2635</v>
      </c>
      <c r="F25" s="14" t="s">
        <v>134</v>
      </c>
      <c r="G25" s="15" t="s">
        <v>81</v>
      </c>
      <c r="H25" s="15" t="s">
        <v>67</v>
      </c>
      <c r="I25" s="16" t="s">
        <v>36</v>
      </c>
      <c r="J25" s="17"/>
      <c r="K25" s="16" t="s">
        <v>135</v>
      </c>
      <c r="L25" s="15" t="s">
        <v>21</v>
      </c>
      <c r="M25" s="16" t="s">
        <v>82</v>
      </c>
      <c r="N25" s="17"/>
      <c r="O25" s="15" t="s">
        <v>81</v>
      </c>
      <c r="P25" s="15" t="s">
        <v>36</v>
      </c>
      <c r="Q25" s="15" t="s">
        <v>37</v>
      </c>
      <c r="R25" s="17"/>
      <c r="S25" s="40" t="str">
        <f>"220,0"</f>
        <v>220,0</v>
      </c>
      <c r="T25" s="17" t="str">
        <f>"277,9700"</f>
        <v>277,9700</v>
      </c>
      <c r="U25" s="14" t="s">
        <v>136</v>
      </c>
    </row>
    <row r="26" spans="1:21">
      <c r="A26" s="20" t="s">
        <v>15</v>
      </c>
      <c r="B26" s="18" t="s">
        <v>137</v>
      </c>
      <c r="C26" s="18" t="s">
        <v>138</v>
      </c>
      <c r="D26" s="18" t="s">
        <v>139</v>
      </c>
      <c r="E26" s="18" t="str">
        <f>"1,2984"</f>
        <v>1,2984</v>
      </c>
      <c r="F26" s="18" t="s">
        <v>102</v>
      </c>
      <c r="G26" s="19" t="s">
        <v>140</v>
      </c>
      <c r="H26" s="19" t="s">
        <v>81</v>
      </c>
      <c r="I26" s="22" t="s">
        <v>36</v>
      </c>
      <c r="J26" s="20"/>
      <c r="K26" s="19" t="s">
        <v>22</v>
      </c>
      <c r="L26" s="22" t="s">
        <v>83</v>
      </c>
      <c r="M26" s="22" t="s">
        <v>83</v>
      </c>
      <c r="N26" s="20"/>
      <c r="O26" s="19" t="s">
        <v>68</v>
      </c>
      <c r="P26" s="19" t="s">
        <v>38</v>
      </c>
      <c r="Q26" s="19" t="s">
        <v>46</v>
      </c>
      <c r="R26" s="20"/>
      <c r="S26" s="38" t="str">
        <f>"225,0"</f>
        <v>225,0</v>
      </c>
      <c r="T26" s="20" t="str">
        <f>"300,3199"</f>
        <v>300,3199</v>
      </c>
      <c r="U26" s="18" t="s">
        <v>105</v>
      </c>
    </row>
    <row r="27" spans="1:21">
      <c r="B27" s="5" t="s">
        <v>40</v>
      </c>
    </row>
    <row r="28" spans="1:21" ht="15.95">
      <c r="A28" s="102" t="s">
        <v>141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</row>
    <row r="29" spans="1:21">
      <c r="A29" s="13" t="s">
        <v>15</v>
      </c>
      <c r="B29" s="11" t="s">
        <v>142</v>
      </c>
      <c r="C29" s="11" t="s">
        <v>143</v>
      </c>
      <c r="D29" s="11" t="s">
        <v>144</v>
      </c>
      <c r="E29" s="11" t="str">
        <f>"1,1900"</f>
        <v>1,1900</v>
      </c>
      <c r="F29" s="11" t="s">
        <v>125</v>
      </c>
      <c r="G29" s="12" t="s">
        <v>56</v>
      </c>
      <c r="H29" s="12" t="s">
        <v>70</v>
      </c>
      <c r="I29" s="21" t="s">
        <v>145</v>
      </c>
      <c r="J29" s="13"/>
      <c r="K29" s="12" t="s">
        <v>104</v>
      </c>
      <c r="L29" s="12" t="s">
        <v>146</v>
      </c>
      <c r="M29" s="21" t="s">
        <v>67</v>
      </c>
      <c r="N29" s="13"/>
      <c r="O29" s="21" t="s">
        <v>147</v>
      </c>
      <c r="P29" s="12" t="s">
        <v>147</v>
      </c>
      <c r="Q29" s="21" t="s">
        <v>59</v>
      </c>
      <c r="R29" s="13"/>
      <c r="S29" s="37" t="str">
        <f>"340,0"</f>
        <v>340,0</v>
      </c>
      <c r="T29" s="13" t="str">
        <f>"404,6000"</f>
        <v>404,6000</v>
      </c>
      <c r="U29" s="11" t="s">
        <v>126</v>
      </c>
    </row>
    <row r="30" spans="1:21">
      <c r="A30" s="17" t="s">
        <v>62</v>
      </c>
      <c r="B30" s="14" t="s">
        <v>148</v>
      </c>
      <c r="C30" s="14" t="s">
        <v>149</v>
      </c>
      <c r="D30" s="14" t="s">
        <v>150</v>
      </c>
      <c r="E30" s="14" t="str">
        <f>"1,1766"</f>
        <v>1,1766</v>
      </c>
      <c r="F30" s="14" t="s">
        <v>45</v>
      </c>
      <c r="G30" s="15" t="s">
        <v>38</v>
      </c>
      <c r="H30" s="15" t="s">
        <v>69</v>
      </c>
      <c r="I30" s="16" t="s">
        <v>70</v>
      </c>
      <c r="J30" s="17"/>
      <c r="K30" s="15" t="s">
        <v>26</v>
      </c>
      <c r="L30" s="15" t="s">
        <v>32</v>
      </c>
      <c r="M30" s="16" t="s">
        <v>57</v>
      </c>
      <c r="N30" s="17"/>
      <c r="O30" s="15" t="s">
        <v>60</v>
      </c>
      <c r="P30" s="15" t="s">
        <v>151</v>
      </c>
      <c r="Q30" s="15" t="s">
        <v>152</v>
      </c>
      <c r="R30" s="17"/>
      <c r="S30" s="40" t="str">
        <f>"340,0"</f>
        <v>340,0</v>
      </c>
      <c r="T30" s="17" t="str">
        <f>"400,0440"</f>
        <v>400,0440</v>
      </c>
      <c r="U30" s="14" t="s">
        <v>50</v>
      </c>
    </row>
    <row r="31" spans="1:21">
      <c r="A31" s="17" t="s">
        <v>73</v>
      </c>
      <c r="B31" s="14" t="s">
        <v>153</v>
      </c>
      <c r="C31" s="14" t="s">
        <v>154</v>
      </c>
      <c r="D31" s="14" t="s">
        <v>155</v>
      </c>
      <c r="E31" s="14" t="str">
        <f>"1,2071"</f>
        <v>1,2071</v>
      </c>
      <c r="F31" s="14" t="s">
        <v>156</v>
      </c>
      <c r="G31" s="15" t="s">
        <v>38</v>
      </c>
      <c r="H31" s="15" t="s">
        <v>69</v>
      </c>
      <c r="I31" s="16" t="s">
        <v>70</v>
      </c>
      <c r="J31" s="17"/>
      <c r="K31" s="15" t="s">
        <v>48</v>
      </c>
      <c r="L31" s="16" t="s">
        <v>57</v>
      </c>
      <c r="M31" s="15" t="s">
        <v>33</v>
      </c>
      <c r="N31" s="17"/>
      <c r="O31" s="15" t="s">
        <v>70</v>
      </c>
      <c r="P31" s="15" t="s">
        <v>157</v>
      </c>
      <c r="Q31" s="15" t="s">
        <v>58</v>
      </c>
      <c r="R31" s="17"/>
      <c r="S31" s="40" t="str">
        <f>"320,0"</f>
        <v>320,0</v>
      </c>
      <c r="T31" s="17" t="str">
        <f>"386,2720"</f>
        <v>386,2720</v>
      </c>
      <c r="U31" s="14" t="s">
        <v>158</v>
      </c>
    </row>
    <row r="32" spans="1:21">
      <c r="A32" s="17" t="s">
        <v>75</v>
      </c>
      <c r="B32" s="14" t="s">
        <v>159</v>
      </c>
      <c r="C32" s="14" t="s">
        <v>160</v>
      </c>
      <c r="D32" s="14" t="s">
        <v>161</v>
      </c>
      <c r="E32" s="14" t="str">
        <f>"1,2123"</f>
        <v>1,2123</v>
      </c>
      <c r="F32" s="14" t="s">
        <v>125</v>
      </c>
      <c r="G32" s="15" t="s">
        <v>49</v>
      </c>
      <c r="H32" s="16" t="s">
        <v>69</v>
      </c>
      <c r="I32" s="16" t="s">
        <v>69</v>
      </c>
      <c r="J32" s="17"/>
      <c r="K32" s="15" t="s">
        <v>140</v>
      </c>
      <c r="L32" s="16" t="s">
        <v>80</v>
      </c>
      <c r="M32" s="16" t="s">
        <v>80</v>
      </c>
      <c r="N32" s="17"/>
      <c r="O32" s="15" t="s">
        <v>56</v>
      </c>
      <c r="P32" s="15" t="s">
        <v>162</v>
      </c>
      <c r="Q32" s="16" t="s">
        <v>85</v>
      </c>
      <c r="R32" s="17"/>
      <c r="S32" s="40" t="str">
        <f>"300,0"</f>
        <v>300,0</v>
      </c>
      <c r="T32" s="17" t="str">
        <f>"363,6900"</f>
        <v>363,6900</v>
      </c>
      <c r="U32" s="14" t="s">
        <v>126</v>
      </c>
    </row>
    <row r="33" spans="1:21">
      <c r="A33" s="17" t="s">
        <v>87</v>
      </c>
      <c r="B33" s="14" t="s">
        <v>163</v>
      </c>
      <c r="C33" s="14" t="s">
        <v>164</v>
      </c>
      <c r="D33" s="14" t="s">
        <v>165</v>
      </c>
      <c r="E33" s="14" t="str">
        <f>"1,1816"</f>
        <v>1,1816</v>
      </c>
      <c r="F33" s="14" t="s">
        <v>166</v>
      </c>
      <c r="G33" s="15" t="s">
        <v>67</v>
      </c>
      <c r="H33" s="15" t="s">
        <v>68</v>
      </c>
      <c r="I33" s="16" t="s">
        <v>38</v>
      </c>
      <c r="J33" s="17"/>
      <c r="K33" s="15" t="s">
        <v>34</v>
      </c>
      <c r="L33" s="15" t="s">
        <v>35</v>
      </c>
      <c r="M33" s="15" t="s">
        <v>26</v>
      </c>
      <c r="N33" s="17"/>
      <c r="O33" s="15" t="s">
        <v>47</v>
      </c>
      <c r="P33" s="15" t="s">
        <v>55</v>
      </c>
      <c r="Q33" s="15" t="s">
        <v>84</v>
      </c>
      <c r="R33" s="17"/>
      <c r="S33" s="40" t="str">
        <f>"270,0"</f>
        <v>270,0</v>
      </c>
      <c r="T33" s="17" t="str">
        <f>"319,0320"</f>
        <v>319,0320</v>
      </c>
      <c r="U33" s="14" t="s">
        <v>167</v>
      </c>
    </row>
    <row r="34" spans="1:21">
      <c r="A34" s="17" t="s">
        <v>168</v>
      </c>
      <c r="B34" s="14" t="s">
        <v>169</v>
      </c>
      <c r="C34" s="14" t="s">
        <v>170</v>
      </c>
      <c r="D34" s="14" t="s">
        <v>150</v>
      </c>
      <c r="E34" s="14" t="str">
        <f>"1,1766"</f>
        <v>1,1766</v>
      </c>
      <c r="F34" s="14" t="s">
        <v>91</v>
      </c>
      <c r="G34" s="16" t="s">
        <v>67</v>
      </c>
      <c r="H34" s="16" t="s">
        <v>67</v>
      </c>
      <c r="I34" s="15" t="s">
        <v>67</v>
      </c>
      <c r="J34" s="17"/>
      <c r="K34" s="15" t="s">
        <v>82</v>
      </c>
      <c r="L34" s="15" t="s">
        <v>83</v>
      </c>
      <c r="M34" s="16" t="s">
        <v>103</v>
      </c>
      <c r="N34" s="17"/>
      <c r="O34" s="15" t="s">
        <v>56</v>
      </c>
      <c r="P34" s="16" t="s">
        <v>145</v>
      </c>
      <c r="Q34" s="15" t="s">
        <v>71</v>
      </c>
      <c r="R34" s="17"/>
      <c r="S34" s="40" t="str">
        <f>"262,5"</f>
        <v>262,5</v>
      </c>
      <c r="T34" s="17" t="str">
        <f>"308,8575"</f>
        <v>308,8575</v>
      </c>
      <c r="U34" s="14" t="s">
        <v>171</v>
      </c>
    </row>
    <row r="35" spans="1:21">
      <c r="A35" s="17" t="s">
        <v>172</v>
      </c>
      <c r="B35" s="14" t="s">
        <v>173</v>
      </c>
      <c r="C35" s="14" t="s">
        <v>174</v>
      </c>
      <c r="D35" s="14" t="s">
        <v>175</v>
      </c>
      <c r="E35" s="14" t="str">
        <f>"1,1883"</f>
        <v>1,1883</v>
      </c>
      <c r="F35" s="14" t="s">
        <v>176</v>
      </c>
      <c r="G35" s="15" t="s">
        <v>81</v>
      </c>
      <c r="H35" s="16" t="s">
        <v>67</v>
      </c>
      <c r="I35" s="15" t="s">
        <v>67</v>
      </c>
      <c r="J35" s="17"/>
      <c r="K35" s="15" t="s">
        <v>25</v>
      </c>
      <c r="L35" s="16" t="s">
        <v>48</v>
      </c>
      <c r="M35" s="16" t="s">
        <v>48</v>
      </c>
      <c r="N35" s="17"/>
      <c r="O35" s="15" t="s">
        <v>69</v>
      </c>
      <c r="P35" s="15" t="s">
        <v>70</v>
      </c>
      <c r="Q35" s="16" t="s">
        <v>145</v>
      </c>
      <c r="R35" s="17"/>
      <c r="S35" s="40" t="str">
        <f>"260,0"</f>
        <v>260,0</v>
      </c>
      <c r="T35" s="17" t="str">
        <f>"308,9580"</f>
        <v>308,9580</v>
      </c>
      <c r="U35" s="14" t="s">
        <v>177</v>
      </c>
    </row>
    <row r="36" spans="1:21">
      <c r="A36" s="17" t="s">
        <v>178</v>
      </c>
      <c r="B36" s="14" t="s">
        <v>179</v>
      </c>
      <c r="C36" s="14" t="s">
        <v>180</v>
      </c>
      <c r="D36" s="14" t="s">
        <v>181</v>
      </c>
      <c r="E36" s="14" t="str">
        <f>"1,2019"</f>
        <v>1,2019</v>
      </c>
      <c r="F36" s="14" t="s">
        <v>91</v>
      </c>
      <c r="G36" s="15" t="s">
        <v>67</v>
      </c>
      <c r="H36" s="16" t="s">
        <v>36</v>
      </c>
      <c r="I36" s="15" t="s">
        <v>36</v>
      </c>
      <c r="J36" s="17"/>
      <c r="K36" s="15" t="s">
        <v>103</v>
      </c>
      <c r="L36" s="16" t="s">
        <v>25</v>
      </c>
      <c r="M36" s="16" t="s">
        <v>25</v>
      </c>
      <c r="N36" s="17"/>
      <c r="O36" s="15" t="s">
        <v>69</v>
      </c>
      <c r="P36" s="15" t="s">
        <v>84</v>
      </c>
      <c r="Q36" s="16" t="s">
        <v>145</v>
      </c>
      <c r="R36" s="17"/>
      <c r="S36" s="40" t="str">
        <f>"257,5"</f>
        <v>257,5</v>
      </c>
      <c r="T36" s="17" t="str">
        <f>"309,4893"</f>
        <v>309,4893</v>
      </c>
      <c r="U36" s="14" t="s">
        <v>182</v>
      </c>
    </row>
    <row r="37" spans="1:21">
      <c r="A37" s="17" t="s">
        <v>183</v>
      </c>
      <c r="B37" s="14" t="s">
        <v>184</v>
      </c>
      <c r="C37" s="14" t="s">
        <v>185</v>
      </c>
      <c r="D37" s="14" t="s">
        <v>161</v>
      </c>
      <c r="E37" s="14" t="str">
        <f>"1,2123"</f>
        <v>1,2123</v>
      </c>
      <c r="F37" s="14" t="s">
        <v>91</v>
      </c>
      <c r="G37" s="15" t="s">
        <v>81</v>
      </c>
      <c r="H37" s="15" t="s">
        <v>67</v>
      </c>
      <c r="I37" s="16" t="s">
        <v>120</v>
      </c>
      <c r="J37" s="17"/>
      <c r="K37" s="15" t="s">
        <v>82</v>
      </c>
      <c r="L37" s="15" t="s">
        <v>83</v>
      </c>
      <c r="M37" s="16" t="s">
        <v>103</v>
      </c>
      <c r="N37" s="17"/>
      <c r="O37" s="15" t="s">
        <v>36</v>
      </c>
      <c r="P37" s="16" t="s">
        <v>38</v>
      </c>
      <c r="Q37" s="16" t="s">
        <v>38</v>
      </c>
      <c r="R37" s="17"/>
      <c r="S37" s="40" t="str">
        <f>"222,5"</f>
        <v>222,5</v>
      </c>
      <c r="T37" s="17" t="str">
        <f>"269,7367"</f>
        <v>269,7367</v>
      </c>
      <c r="U37" s="14" t="s">
        <v>158</v>
      </c>
    </row>
    <row r="38" spans="1:21">
      <c r="A38" s="17" t="s">
        <v>186</v>
      </c>
      <c r="B38" s="14" t="s">
        <v>187</v>
      </c>
      <c r="C38" s="14" t="s">
        <v>188</v>
      </c>
      <c r="D38" s="14" t="s">
        <v>189</v>
      </c>
      <c r="E38" s="14" t="str">
        <f>"1,1849"</f>
        <v>1,1849</v>
      </c>
      <c r="F38" s="14" t="s">
        <v>91</v>
      </c>
      <c r="G38" s="15" t="s">
        <v>26</v>
      </c>
      <c r="H38" s="15" t="s">
        <v>57</v>
      </c>
      <c r="I38" s="15" t="s">
        <v>80</v>
      </c>
      <c r="J38" s="17"/>
      <c r="K38" s="15" t="s">
        <v>135</v>
      </c>
      <c r="L38" s="15" t="s">
        <v>22</v>
      </c>
      <c r="M38" s="16" t="s">
        <v>82</v>
      </c>
      <c r="N38" s="17"/>
      <c r="O38" s="15" t="s">
        <v>26</v>
      </c>
      <c r="P38" s="15" t="s">
        <v>32</v>
      </c>
      <c r="Q38" s="16" t="s">
        <v>33</v>
      </c>
      <c r="R38" s="17"/>
      <c r="S38" s="40" t="str">
        <f>"182,5"</f>
        <v>182,5</v>
      </c>
      <c r="T38" s="17" t="str">
        <f>"216,2443"</f>
        <v>216,2443</v>
      </c>
      <c r="U38" s="14" t="s">
        <v>158</v>
      </c>
    </row>
    <row r="39" spans="1:21">
      <c r="A39" s="17" t="s">
        <v>15</v>
      </c>
      <c r="B39" s="14" t="s">
        <v>148</v>
      </c>
      <c r="C39" s="14" t="s">
        <v>190</v>
      </c>
      <c r="D39" s="14" t="s">
        <v>150</v>
      </c>
      <c r="E39" s="14" t="str">
        <f>"1,1766"</f>
        <v>1,1766</v>
      </c>
      <c r="F39" s="14" t="s">
        <v>45</v>
      </c>
      <c r="G39" s="15" t="s">
        <v>38</v>
      </c>
      <c r="H39" s="15" t="s">
        <v>69</v>
      </c>
      <c r="I39" s="16" t="s">
        <v>70</v>
      </c>
      <c r="J39" s="17"/>
      <c r="K39" s="15" t="s">
        <v>26</v>
      </c>
      <c r="L39" s="15" t="s">
        <v>32</v>
      </c>
      <c r="M39" s="16" t="s">
        <v>57</v>
      </c>
      <c r="N39" s="17"/>
      <c r="O39" s="15" t="s">
        <v>60</v>
      </c>
      <c r="P39" s="15" t="s">
        <v>151</v>
      </c>
      <c r="Q39" s="15" t="s">
        <v>152</v>
      </c>
      <c r="R39" s="17"/>
      <c r="S39" s="40" t="str">
        <f>"340,0"</f>
        <v>340,0</v>
      </c>
      <c r="T39" s="17" t="str">
        <f>"402,0442"</f>
        <v>402,0442</v>
      </c>
      <c r="U39" s="14" t="s">
        <v>50</v>
      </c>
    </row>
    <row r="40" spans="1:21">
      <c r="A40" s="20" t="s">
        <v>62</v>
      </c>
      <c r="B40" s="18" t="s">
        <v>191</v>
      </c>
      <c r="C40" s="18" t="s">
        <v>192</v>
      </c>
      <c r="D40" s="18" t="s">
        <v>193</v>
      </c>
      <c r="E40" s="18" t="str">
        <f>"1,1967"</f>
        <v>1,1967</v>
      </c>
      <c r="F40" s="18" t="s">
        <v>91</v>
      </c>
      <c r="G40" s="19" t="s">
        <v>32</v>
      </c>
      <c r="H40" s="19" t="s">
        <v>33</v>
      </c>
      <c r="I40" s="19" t="s">
        <v>140</v>
      </c>
      <c r="J40" s="20"/>
      <c r="K40" s="19" t="s">
        <v>82</v>
      </c>
      <c r="L40" s="19" t="s">
        <v>83</v>
      </c>
      <c r="M40" s="22" t="s">
        <v>103</v>
      </c>
      <c r="N40" s="20"/>
      <c r="O40" s="19" t="s">
        <v>120</v>
      </c>
      <c r="P40" s="19" t="s">
        <v>68</v>
      </c>
      <c r="Q40" s="22" t="s">
        <v>37</v>
      </c>
      <c r="R40" s="20"/>
      <c r="S40" s="38" t="str">
        <f>"212,5"</f>
        <v>212,5</v>
      </c>
      <c r="T40" s="20" t="str">
        <f>"287,8662"</f>
        <v>287,8662</v>
      </c>
      <c r="U40" s="18" t="s">
        <v>194</v>
      </c>
    </row>
    <row r="41" spans="1:21">
      <c r="B41" s="5" t="s">
        <v>40</v>
      </c>
    </row>
    <row r="42" spans="1:21" ht="15.95">
      <c r="A42" s="102" t="s">
        <v>195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</row>
    <row r="43" spans="1:21">
      <c r="A43" s="13" t="s">
        <v>92</v>
      </c>
      <c r="B43" s="11" t="s">
        <v>196</v>
      </c>
      <c r="C43" s="11" t="s">
        <v>197</v>
      </c>
      <c r="D43" s="11" t="s">
        <v>198</v>
      </c>
      <c r="E43" s="11" t="str">
        <f>"1,1236"</f>
        <v>1,1236</v>
      </c>
      <c r="F43" s="11" t="s">
        <v>91</v>
      </c>
      <c r="G43" s="21" t="s">
        <v>81</v>
      </c>
      <c r="H43" s="21" t="s">
        <v>81</v>
      </c>
      <c r="I43" s="21" t="s">
        <v>81</v>
      </c>
      <c r="J43" s="13"/>
      <c r="K43" s="13"/>
      <c r="L43" s="13"/>
      <c r="M43" s="13"/>
      <c r="N43" s="13"/>
      <c r="O43" s="13"/>
      <c r="P43" s="13"/>
      <c r="Q43" s="13"/>
      <c r="R43" s="13"/>
      <c r="S43" s="37">
        <v>0</v>
      </c>
      <c r="T43" s="13" t="str">
        <f>"0,0000"</f>
        <v>0,0000</v>
      </c>
      <c r="U43" s="11" t="s">
        <v>199</v>
      </c>
    </row>
    <row r="44" spans="1:21">
      <c r="A44" s="17" t="s">
        <v>15</v>
      </c>
      <c r="B44" s="14" t="s">
        <v>200</v>
      </c>
      <c r="C44" s="14" t="s">
        <v>201</v>
      </c>
      <c r="D44" s="14" t="s">
        <v>202</v>
      </c>
      <c r="E44" s="14" t="str">
        <f>"1,1149"</f>
        <v>1,1149</v>
      </c>
      <c r="F44" s="14" t="s">
        <v>203</v>
      </c>
      <c r="G44" s="15" t="s">
        <v>69</v>
      </c>
      <c r="H44" s="16" t="s">
        <v>70</v>
      </c>
      <c r="I44" s="15" t="s">
        <v>70</v>
      </c>
      <c r="J44" s="17"/>
      <c r="K44" s="15" t="s">
        <v>32</v>
      </c>
      <c r="L44" s="15" t="s">
        <v>57</v>
      </c>
      <c r="M44" s="15" t="s">
        <v>33</v>
      </c>
      <c r="N44" s="17"/>
      <c r="O44" s="15" t="s">
        <v>58</v>
      </c>
      <c r="P44" s="15" t="s">
        <v>204</v>
      </c>
      <c r="Q44" s="16" t="s">
        <v>205</v>
      </c>
      <c r="R44" s="17"/>
      <c r="S44" s="40" t="str">
        <f>"337,5"</f>
        <v>337,5</v>
      </c>
      <c r="T44" s="17" t="str">
        <f>"376,2787"</f>
        <v>376,2787</v>
      </c>
      <c r="U44" s="14" t="s">
        <v>158</v>
      </c>
    </row>
    <row r="45" spans="1:21">
      <c r="A45" s="17" t="s">
        <v>62</v>
      </c>
      <c r="B45" s="14" t="s">
        <v>206</v>
      </c>
      <c r="C45" s="14" t="s">
        <v>207</v>
      </c>
      <c r="D45" s="14" t="s">
        <v>208</v>
      </c>
      <c r="E45" s="14" t="str">
        <f>"1,1281"</f>
        <v>1,1281</v>
      </c>
      <c r="F45" s="14" t="s">
        <v>125</v>
      </c>
      <c r="G45" s="16" t="s">
        <v>49</v>
      </c>
      <c r="H45" s="15" t="s">
        <v>69</v>
      </c>
      <c r="I45" s="16" t="s">
        <v>84</v>
      </c>
      <c r="J45" s="17"/>
      <c r="K45" s="16" t="s">
        <v>33</v>
      </c>
      <c r="L45" s="15" t="s">
        <v>33</v>
      </c>
      <c r="M45" s="16" t="s">
        <v>140</v>
      </c>
      <c r="N45" s="17"/>
      <c r="O45" s="15" t="s">
        <v>162</v>
      </c>
      <c r="P45" s="15" t="s">
        <v>71</v>
      </c>
      <c r="Q45" s="15" t="s">
        <v>209</v>
      </c>
      <c r="R45" s="17"/>
      <c r="S45" s="40" t="str">
        <f>"315,0"</f>
        <v>315,0</v>
      </c>
      <c r="T45" s="17" t="str">
        <f>"355,3515"</f>
        <v>355,3515</v>
      </c>
      <c r="U45" s="14" t="s">
        <v>126</v>
      </c>
    </row>
    <row r="46" spans="1:21">
      <c r="A46" s="17" t="s">
        <v>73</v>
      </c>
      <c r="B46" s="14" t="s">
        <v>210</v>
      </c>
      <c r="C46" s="14" t="s">
        <v>211</v>
      </c>
      <c r="D46" s="14" t="s">
        <v>212</v>
      </c>
      <c r="E46" s="14" t="str">
        <f>"1,1266"</f>
        <v>1,1266</v>
      </c>
      <c r="F46" s="14" t="s">
        <v>91</v>
      </c>
      <c r="G46" s="15" t="s">
        <v>38</v>
      </c>
      <c r="H46" s="15" t="s">
        <v>49</v>
      </c>
      <c r="I46" s="15" t="s">
        <v>69</v>
      </c>
      <c r="J46" s="17"/>
      <c r="K46" s="15" t="s">
        <v>33</v>
      </c>
      <c r="L46" s="15" t="s">
        <v>80</v>
      </c>
      <c r="M46" s="16" t="s">
        <v>104</v>
      </c>
      <c r="N46" s="17"/>
      <c r="O46" s="15" t="s">
        <v>56</v>
      </c>
      <c r="P46" s="15" t="s">
        <v>162</v>
      </c>
      <c r="Q46" s="16" t="s">
        <v>85</v>
      </c>
      <c r="R46" s="17"/>
      <c r="S46" s="40" t="str">
        <f>"307,5"</f>
        <v>307,5</v>
      </c>
      <c r="T46" s="17" t="str">
        <f>"346,4295"</f>
        <v>346,4295</v>
      </c>
      <c r="U46" s="14" t="s">
        <v>213</v>
      </c>
    </row>
    <row r="47" spans="1:21">
      <c r="A47" s="17" t="s">
        <v>75</v>
      </c>
      <c r="B47" s="14" t="s">
        <v>214</v>
      </c>
      <c r="C47" s="14" t="s">
        <v>215</v>
      </c>
      <c r="D47" s="14" t="s">
        <v>216</v>
      </c>
      <c r="E47" s="14" t="str">
        <f>"1,1310"</f>
        <v>1,1310</v>
      </c>
      <c r="F47" s="14" t="s">
        <v>91</v>
      </c>
      <c r="G47" s="15" t="s">
        <v>38</v>
      </c>
      <c r="H47" s="15" t="s">
        <v>49</v>
      </c>
      <c r="I47" s="15" t="s">
        <v>47</v>
      </c>
      <c r="J47" s="17"/>
      <c r="K47" s="15" t="s">
        <v>103</v>
      </c>
      <c r="L47" s="15" t="s">
        <v>25</v>
      </c>
      <c r="M47" s="16" t="s">
        <v>35</v>
      </c>
      <c r="N47" s="17"/>
      <c r="O47" s="15" t="s">
        <v>145</v>
      </c>
      <c r="P47" s="15" t="s">
        <v>71</v>
      </c>
      <c r="Q47" s="15" t="s">
        <v>209</v>
      </c>
      <c r="R47" s="17"/>
      <c r="S47" s="40" t="str">
        <f>"297,5"</f>
        <v>297,5</v>
      </c>
      <c r="T47" s="17" t="str">
        <f>"336,4725"</f>
        <v>336,4725</v>
      </c>
      <c r="U47" s="14" t="s">
        <v>39</v>
      </c>
    </row>
    <row r="48" spans="1:21">
      <c r="A48" s="17" t="s">
        <v>87</v>
      </c>
      <c r="B48" s="14" t="s">
        <v>217</v>
      </c>
      <c r="C48" s="14" t="s">
        <v>218</v>
      </c>
      <c r="D48" s="14" t="s">
        <v>219</v>
      </c>
      <c r="E48" s="14" t="str">
        <f>"1,1295"</f>
        <v>1,1295</v>
      </c>
      <c r="F48" s="14" t="s">
        <v>91</v>
      </c>
      <c r="G48" s="15" t="s">
        <v>37</v>
      </c>
      <c r="H48" s="15" t="s">
        <v>46</v>
      </c>
      <c r="I48" s="15" t="s">
        <v>47</v>
      </c>
      <c r="J48" s="17"/>
      <c r="K48" s="15" t="s">
        <v>32</v>
      </c>
      <c r="L48" s="16" t="s">
        <v>140</v>
      </c>
      <c r="M48" s="16" t="s">
        <v>140</v>
      </c>
      <c r="N48" s="17"/>
      <c r="O48" s="15" t="s">
        <v>37</v>
      </c>
      <c r="P48" s="15" t="s">
        <v>46</v>
      </c>
      <c r="Q48" s="16" t="s">
        <v>49</v>
      </c>
      <c r="R48" s="17"/>
      <c r="S48" s="40" t="str">
        <f>"275,0"</f>
        <v>275,0</v>
      </c>
      <c r="T48" s="17" t="str">
        <f>"310,6125"</f>
        <v>310,6125</v>
      </c>
      <c r="U48" s="14" t="s">
        <v>158</v>
      </c>
    </row>
    <row r="49" spans="1:21">
      <c r="A49" s="17" t="s">
        <v>168</v>
      </c>
      <c r="B49" s="14" t="s">
        <v>220</v>
      </c>
      <c r="C49" s="14" t="s">
        <v>221</v>
      </c>
      <c r="D49" s="14" t="s">
        <v>208</v>
      </c>
      <c r="E49" s="14" t="str">
        <f>"1,1281"</f>
        <v>1,1281</v>
      </c>
      <c r="F49" s="14" t="s">
        <v>222</v>
      </c>
      <c r="G49" s="15" t="s">
        <v>38</v>
      </c>
      <c r="H49" s="15" t="s">
        <v>69</v>
      </c>
      <c r="I49" s="16" t="s">
        <v>70</v>
      </c>
      <c r="J49" s="17"/>
      <c r="K49" s="15" t="s">
        <v>83</v>
      </c>
      <c r="L49" s="15" t="s">
        <v>34</v>
      </c>
      <c r="M49" s="16" t="s">
        <v>35</v>
      </c>
      <c r="N49" s="17"/>
      <c r="O49" s="15" t="s">
        <v>37</v>
      </c>
      <c r="P49" s="15" t="s">
        <v>49</v>
      </c>
      <c r="Q49" s="15" t="s">
        <v>69</v>
      </c>
      <c r="R49" s="17"/>
      <c r="S49" s="40" t="str">
        <f>"272,5"</f>
        <v>272,5</v>
      </c>
      <c r="T49" s="17" t="str">
        <f>"307,4073"</f>
        <v>307,4073</v>
      </c>
      <c r="U49" s="14" t="s">
        <v>223</v>
      </c>
    </row>
    <row r="50" spans="1:21">
      <c r="A50" s="17" t="s">
        <v>172</v>
      </c>
      <c r="B50" s="14" t="s">
        <v>224</v>
      </c>
      <c r="C50" s="14" t="s">
        <v>225</v>
      </c>
      <c r="D50" s="14" t="s">
        <v>226</v>
      </c>
      <c r="E50" s="14" t="str">
        <f>"1,1620"</f>
        <v>1,1620</v>
      </c>
      <c r="F50" s="14" t="s">
        <v>227</v>
      </c>
      <c r="G50" s="15" t="s">
        <v>37</v>
      </c>
      <c r="H50" s="15" t="s">
        <v>38</v>
      </c>
      <c r="I50" s="16" t="s">
        <v>46</v>
      </c>
      <c r="J50" s="17"/>
      <c r="K50" s="15" t="s">
        <v>103</v>
      </c>
      <c r="L50" s="15" t="s">
        <v>25</v>
      </c>
      <c r="M50" s="16" t="s">
        <v>35</v>
      </c>
      <c r="N50" s="17"/>
      <c r="O50" s="15" t="s">
        <v>37</v>
      </c>
      <c r="P50" s="15" t="s">
        <v>38</v>
      </c>
      <c r="Q50" s="16" t="s">
        <v>49</v>
      </c>
      <c r="R50" s="17"/>
      <c r="S50" s="40" t="str">
        <f>"255,0"</f>
        <v>255,0</v>
      </c>
      <c r="T50" s="17" t="str">
        <f>"296,3100"</f>
        <v>296,3100</v>
      </c>
      <c r="U50" s="14" t="s">
        <v>228</v>
      </c>
    </row>
    <row r="51" spans="1:21">
      <c r="A51" s="17" t="s">
        <v>92</v>
      </c>
      <c r="B51" s="14" t="s">
        <v>229</v>
      </c>
      <c r="C51" s="14" t="s">
        <v>230</v>
      </c>
      <c r="D51" s="14" t="s">
        <v>231</v>
      </c>
      <c r="E51" s="14" t="str">
        <f>"1,1371"</f>
        <v>1,1371</v>
      </c>
      <c r="F51" s="14" t="s">
        <v>232</v>
      </c>
      <c r="G51" s="15" t="s">
        <v>37</v>
      </c>
      <c r="H51" s="16" t="s">
        <v>38</v>
      </c>
      <c r="I51" s="16" t="s">
        <v>38</v>
      </c>
      <c r="J51" s="17"/>
      <c r="K51" s="15" t="s">
        <v>82</v>
      </c>
      <c r="L51" s="15" t="s">
        <v>103</v>
      </c>
      <c r="M51" s="16" t="s">
        <v>34</v>
      </c>
      <c r="N51" s="17"/>
      <c r="O51" s="16" t="s">
        <v>205</v>
      </c>
      <c r="P51" s="16" t="s">
        <v>205</v>
      </c>
      <c r="Q51" s="16" t="s">
        <v>205</v>
      </c>
      <c r="R51" s="17"/>
      <c r="S51" s="40">
        <v>0</v>
      </c>
      <c r="T51" s="17" t="str">
        <f>"0,0000"</f>
        <v>0,0000</v>
      </c>
      <c r="U51" s="14" t="s">
        <v>39</v>
      </c>
    </row>
    <row r="52" spans="1:21">
      <c r="A52" s="17" t="s">
        <v>92</v>
      </c>
      <c r="B52" s="14" t="s">
        <v>233</v>
      </c>
      <c r="C52" s="14" t="s">
        <v>234</v>
      </c>
      <c r="D52" s="14" t="s">
        <v>235</v>
      </c>
      <c r="E52" s="14" t="str">
        <f>"1,1251"</f>
        <v>1,1251</v>
      </c>
      <c r="F52" s="14" t="s">
        <v>91</v>
      </c>
      <c r="G52" s="16" t="s">
        <v>70</v>
      </c>
      <c r="H52" s="16" t="s">
        <v>70</v>
      </c>
      <c r="I52" s="16" t="s">
        <v>70</v>
      </c>
      <c r="J52" s="17"/>
      <c r="K52" s="17"/>
      <c r="L52" s="17"/>
      <c r="M52" s="17"/>
      <c r="N52" s="17"/>
      <c r="O52" s="17"/>
      <c r="P52" s="17"/>
      <c r="Q52" s="16"/>
      <c r="R52" s="17"/>
      <c r="S52" s="40">
        <v>0</v>
      </c>
      <c r="T52" s="17" t="str">
        <f>"0,0000"</f>
        <v>0,0000</v>
      </c>
      <c r="U52" s="14" t="s">
        <v>236</v>
      </c>
    </row>
    <row r="53" spans="1:21">
      <c r="A53" s="17" t="s">
        <v>15</v>
      </c>
      <c r="B53" s="14" t="s">
        <v>200</v>
      </c>
      <c r="C53" s="14" t="s">
        <v>237</v>
      </c>
      <c r="D53" s="14" t="s">
        <v>202</v>
      </c>
      <c r="E53" s="14" t="str">
        <f>"1,1149"</f>
        <v>1,1149</v>
      </c>
      <c r="F53" s="14" t="s">
        <v>203</v>
      </c>
      <c r="G53" s="15" t="s">
        <v>69</v>
      </c>
      <c r="H53" s="16" t="s">
        <v>70</v>
      </c>
      <c r="I53" s="15" t="s">
        <v>70</v>
      </c>
      <c r="J53" s="17"/>
      <c r="K53" s="15" t="s">
        <v>32</v>
      </c>
      <c r="L53" s="15" t="s">
        <v>57</v>
      </c>
      <c r="M53" s="15" t="s">
        <v>33</v>
      </c>
      <c r="N53" s="17"/>
      <c r="O53" s="15" t="s">
        <v>58</v>
      </c>
      <c r="P53" s="15" t="s">
        <v>204</v>
      </c>
      <c r="Q53" s="16" t="s">
        <v>205</v>
      </c>
      <c r="R53" s="17"/>
      <c r="S53" s="40" t="str">
        <f>"337,5"</f>
        <v>337,5</v>
      </c>
      <c r="T53" s="17" t="str">
        <f>"381,5467"</f>
        <v>381,5467</v>
      </c>
      <c r="U53" s="14" t="s">
        <v>158</v>
      </c>
    </row>
    <row r="54" spans="1:21">
      <c r="A54" s="20" t="s">
        <v>62</v>
      </c>
      <c r="B54" s="18" t="s">
        <v>238</v>
      </c>
      <c r="C54" s="18" t="s">
        <v>239</v>
      </c>
      <c r="D54" s="18" t="s">
        <v>202</v>
      </c>
      <c r="E54" s="18" t="str">
        <f>"1,1149"</f>
        <v>1,1149</v>
      </c>
      <c r="F54" s="18" t="s">
        <v>240</v>
      </c>
      <c r="G54" s="19" t="s">
        <v>36</v>
      </c>
      <c r="H54" s="19" t="s">
        <v>38</v>
      </c>
      <c r="I54" s="22" t="s">
        <v>49</v>
      </c>
      <c r="J54" s="20"/>
      <c r="K54" s="19" t="s">
        <v>25</v>
      </c>
      <c r="L54" s="19" t="s">
        <v>35</v>
      </c>
      <c r="M54" s="19" t="s">
        <v>26</v>
      </c>
      <c r="N54" s="20"/>
      <c r="O54" s="19" t="s">
        <v>162</v>
      </c>
      <c r="P54" s="19" t="s">
        <v>85</v>
      </c>
      <c r="Q54" s="19" t="s">
        <v>71</v>
      </c>
      <c r="R54" s="20"/>
      <c r="S54" s="38" t="str">
        <f>"290,0"</f>
        <v>290,0</v>
      </c>
      <c r="T54" s="20" t="str">
        <f>"332,3740"</f>
        <v>332,3740</v>
      </c>
      <c r="U54" s="18" t="s">
        <v>158</v>
      </c>
    </row>
    <row r="55" spans="1:21">
      <c r="B55" s="5" t="s">
        <v>40</v>
      </c>
    </row>
    <row r="56" spans="1:21" ht="15.95">
      <c r="A56" s="102" t="s">
        <v>241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</row>
    <row r="57" spans="1:21">
      <c r="A57" s="13" t="s">
        <v>15</v>
      </c>
      <c r="B57" s="11" t="s">
        <v>242</v>
      </c>
      <c r="C57" s="11" t="s">
        <v>243</v>
      </c>
      <c r="D57" s="11" t="s">
        <v>244</v>
      </c>
      <c r="E57" s="11" t="str">
        <f>"1,0527"</f>
        <v>1,0527</v>
      </c>
      <c r="F57" s="11" t="s">
        <v>91</v>
      </c>
      <c r="G57" s="12" t="s">
        <v>38</v>
      </c>
      <c r="H57" s="21" t="s">
        <v>49</v>
      </c>
      <c r="I57" s="21" t="s">
        <v>49</v>
      </c>
      <c r="J57" s="13"/>
      <c r="K57" s="12" t="s">
        <v>25</v>
      </c>
      <c r="L57" s="12" t="s">
        <v>26</v>
      </c>
      <c r="M57" s="21" t="s">
        <v>48</v>
      </c>
      <c r="N57" s="13"/>
      <c r="O57" s="12" t="s">
        <v>70</v>
      </c>
      <c r="P57" s="12" t="s">
        <v>162</v>
      </c>
      <c r="Q57" s="13"/>
      <c r="R57" s="13"/>
      <c r="S57" s="37" t="str">
        <f>"282,5"</f>
        <v>282,5</v>
      </c>
      <c r="T57" s="13" t="str">
        <f>"297,3878"</f>
        <v>297,3878</v>
      </c>
      <c r="U57" s="11" t="s">
        <v>158</v>
      </c>
    </row>
    <row r="58" spans="1:21">
      <c r="A58" s="17" t="s">
        <v>15</v>
      </c>
      <c r="B58" s="14" t="s">
        <v>245</v>
      </c>
      <c r="C58" s="14" t="s">
        <v>246</v>
      </c>
      <c r="D58" s="14" t="s">
        <v>247</v>
      </c>
      <c r="E58" s="14" t="str">
        <f>"1,0601"</f>
        <v>1,0601</v>
      </c>
      <c r="F58" s="14" t="s">
        <v>91</v>
      </c>
      <c r="G58" s="16" t="s">
        <v>56</v>
      </c>
      <c r="H58" s="15" t="s">
        <v>84</v>
      </c>
      <c r="I58" s="15" t="s">
        <v>162</v>
      </c>
      <c r="J58" s="17"/>
      <c r="K58" s="15" t="s">
        <v>146</v>
      </c>
      <c r="L58" s="15" t="s">
        <v>120</v>
      </c>
      <c r="M58" s="15" t="s">
        <v>36</v>
      </c>
      <c r="N58" s="17"/>
      <c r="O58" s="15" t="s">
        <v>205</v>
      </c>
      <c r="P58" s="15" t="s">
        <v>152</v>
      </c>
      <c r="Q58" s="16" t="s">
        <v>248</v>
      </c>
      <c r="R58" s="17"/>
      <c r="S58" s="40" t="str">
        <f>"377,5"</f>
        <v>377,5</v>
      </c>
      <c r="T58" s="17" t="str">
        <f>"400,1877"</f>
        <v>400,1877</v>
      </c>
      <c r="U58" s="14" t="s">
        <v>249</v>
      </c>
    </row>
    <row r="59" spans="1:21">
      <c r="A59" s="17" t="s">
        <v>62</v>
      </c>
      <c r="B59" s="14" t="s">
        <v>250</v>
      </c>
      <c r="C59" s="14" t="s">
        <v>251</v>
      </c>
      <c r="D59" s="14" t="s">
        <v>252</v>
      </c>
      <c r="E59" s="14" t="str">
        <f>"1,0432"</f>
        <v>1,0432</v>
      </c>
      <c r="F59" s="14" t="s">
        <v>253</v>
      </c>
      <c r="G59" s="15" t="s">
        <v>56</v>
      </c>
      <c r="H59" s="15" t="s">
        <v>145</v>
      </c>
      <c r="I59" s="15" t="s">
        <v>71</v>
      </c>
      <c r="J59" s="17"/>
      <c r="K59" s="15" t="s">
        <v>48</v>
      </c>
      <c r="L59" s="16" t="s">
        <v>33</v>
      </c>
      <c r="M59" s="16" t="s">
        <v>33</v>
      </c>
      <c r="N59" s="17"/>
      <c r="O59" s="15" t="s">
        <v>58</v>
      </c>
      <c r="P59" s="15" t="s">
        <v>60</v>
      </c>
      <c r="Q59" s="16" t="s">
        <v>254</v>
      </c>
      <c r="R59" s="17"/>
      <c r="S59" s="40" t="str">
        <f>"342,5"</f>
        <v>342,5</v>
      </c>
      <c r="T59" s="17" t="str">
        <f>"357,2960"</f>
        <v>357,2960</v>
      </c>
      <c r="U59" s="14" t="s">
        <v>255</v>
      </c>
    </row>
    <row r="60" spans="1:21">
      <c r="A60" s="17" t="s">
        <v>73</v>
      </c>
      <c r="B60" s="14" t="s">
        <v>256</v>
      </c>
      <c r="C60" s="14" t="s">
        <v>257</v>
      </c>
      <c r="D60" s="14" t="s">
        <v>258</v>
      </c>
      <c r="E60" s="14" t="str">
        <f>"1,0408"</f>
        <v>1,0408</v>
      </c>
      <c r="F60" s="14" t="s">
        <v>91</v>
      </c>
      <c r="G60" s="15" t="s">
        <v>70</v>
      </c>
      <c r="H60" s="15" t="s">
        <v>145</v>
      </c>
      <c r="I60" s="16" t="s">
        <v>71</v>
      </c>
      <c r="J60" s="17"/>
      <c r="K60" s="16" t="s">
        <v>80</v>
      </c>
      <c r="L60" s="16" t="s">
        <v>80</v>
      </c>
      <c r="M60" s="15" t="s">
        <v>80</v>
      </c>
      <c r="N60" s="17"/>
      <c r="O60" s="15" t="s">
        <v>209</v>
      </c>
      <c r="P60" s="16" t="s">
        <v>58</v>
      </c>
      <c r="Q60" s="16" t="s">
        <v>59</v>
      </c>
      <c r="R60" s="17"/>
      <c r="S60" s="40" t="str">
        <f>"335,0"</f>
        <v>335,0</v>
      </c>
      <c r="T60" s="17" t="str">
        <f>"348,6680"</f>
        <v>348,6680</v>
      </c>
      <c r="U60" s="14" t="s">
        <v>158</v>
      </c>
    </row>
    <row r="61" spans="1:21">
      <c r="A61" s="17" t="s">
        <v>75</v>
      </c>
      <c r="B61" s="14" t="s">
        <v>259</v>
      </c>
      <c r="C61" s="14" t="s">
        <v>260</v>
      </c>
      <c r="D61" s="14" t="s">
        <v>261</v>
      </c>
      <c r="E61" s="14" t="str">
        <f>"1,0385"</f>
        <v>1,0385</v>
      </c>
      <c r="F61" s="14" t="s">
        <v>262</v>
      </c>
      <c r="G61" s="15" t="s">
        <v>69</v>
      </c>
      <c r="H61" s="15" t="s">
        <v>70</v>
      </c>
      <c r="I61" s="16" t="s">
        <v>157</v>
      </c>
      <c r="J61" s="17"/>
      <c r="K61" s="15" t="s">
        <v>33</v>
      </c>
      <c r="L61" s="15" t="s">
        <v>80</v>
      </c>
      <c r="M61" s="16" t="s">
        <v>104</v>
      </c>
      <c r="N61" s="17"/>
      <c r="O61" s="15" t="s">
        <v>71</v>
      </c>
      <c r="P61" s="15" t="s">
        <v>58</v>
      </c>
      <c r="Q61" s="16" t="s">
        <v>60</v>
      </c>
      <c r="R61" s="17"/>
      <c r="S61" s="40" t="str">
        <f>"335,0"</f>
        <v>335,0</v>
      </c>
      <c r="T61" s="17" t="str">
        <f>"347,8975"</f>
        <v>347,8975</v>
      </c>
      <c r="U61" s="14" t="s">
        <v>263</v>
      </c>
    </row>
    <row r="62" spans="1:21">
      <c r="A62" s="17" t="s">
        <v>87</v>
      </c>
      <c r="B62" s="14" t="s">
        <v>264</v>
      </c>
      <c r="C62" s="14" t="s">
        <v>265</v>
      </c>
      <c r="D62" s="14" t="s">
        <v>261</v>
      </c>
      <c r="E62" s="14" t="str">
        <f>"1,0385"</f>
        <v>1,0385</v>
      </c>
      <c r="F62" s="14" t="s">
        <v>266</v>
      </c>
      <c r="G62" s="16" t="s">
        <v>69</v>
      </c>
      <c r="H62" s="16" t="s">
        <v>55</v>
      </c>
      <c r="I62" s="15" t="s">
        <v>55</v>
      </c>
      <c r="J62" s="17"/>
      <c r="K62" s="15" t="s">
        <v>57</v>
      </c>
      <c r="L62" s="16" t="s">
        <v>140</v>
      </c>
      <c r="M62" s="16" t="s">
        <v>140</v>
      </c>
      <c r="N62" s="17"/>
      <c r="O62" s="16" t="s">
        <v>209</v>
      </c>
      <c r="P62" s="15" t="s">
        <v>58</v>
      </c>
      <c r="Q62" s="16" t="s">
        <v>59</v>
      </c>
      <c r="R62" s="17"/>
      <c r="S62" s="40" t="str">
        <f>"320,0"</f>
        <v>320,0</v>
      </c>
      <c r="T62" s="17" t="str">
        <f>"332,3200"</f>
        <v>332,3200</v>
      </c>
      <c r="U62" s="14" t="s">
        <v>158</v>
      </c>
    </row>
    <row r="63" spans="1:21">
      <c r="A63" s="17" t="s">
        <v>168</v>
      </c>
      <c r="B63" s="14" t="s">
        <v>267</v>
      </c>
      <c r="C63" s="14" t="s">
        <v>268</v>
      </c>
      <c r="D63" s="14" t="s">
        <v>269</v>
      </c>
      <c r="E63" s="14" t="str">
        <f>"1,0980"</f>
        <v>1,0980</v>
      </c>
      <c r="F63" s="14" t="s">
        <v>270</v>
      </c>
      <c r="G63" s="16" t="s">
        <v>70</v>
      </c>
      <c r="H63" s="15" t="s">
        <v>145</v>
      </c>
      <c r="I63" s="16" t="s">
        <v>157</v>
      </c>
      <c r="J63" s="17"/>
      <c r="K63" s="15" t="s">
        <v>103</v>
      </c>
      <c r="L63" s="16" t="s">
        <v>25</v>
      </c>
      <c r="M63" s="16" t="s">
        <v>25</v>
      </c>
      <c r="N63" s="17"/>
      <c r="O63" s="15" t="s">
        <v>69</v>
      </c>
      <c r="P63" s="15" t="s">
        <v>56</v>
      </c>
      <c r="Q63" s="15" t="s">
        <v>70</v>
      </c>
      <c r="R63" s="17"/>
      <c r="S63" s="40" t="str">
        <f>"295,0"</f>
        <v>295,0</v>
      </c>
      <c r="T63" s="17" t="str">
        <f>"323,9100"</f>
        <v>323,9100</v>
      </c>
      <c r="U63" s="14" t="s">
        <v>158</v>
      </c>
    </row>
    <row r="64" spans="1:21">
      <c r="A64" s="17" t="s">
        <v>172</v>
      </c>
      <c r="B64" s="14" t="s">
        <v>271</v>
      </c>
      <c r="C64" s="14" t="s">
        <v>272</v>
      </c>
      <c r="D64" s="14" t="s">
        <v>273</v>
      </c>
      <c r="E64" s="14" t="str">
        <f>"1,0420"</f>
        <v>1,0420</v>
      </c>
      <c r="F64" s="14" t="s">
        <v>266</v>
      </c>
      <c r="G64" s="15" t="s">
        <v>37</v>
      </c>
      <c r="H64" s="16" t="s">
        <v>38</v>
      </c>
      <c r="I64" s="16" t="s">
        <v>49</v>
      </c>
      <c r="J64" s="17"/>
      <c r="K64" s="15" t="s">
        <v>25</v>
      </c>
      <c r="L64" s="15" t="s">
        <v>26</v>
      </c>
      <c r="M64" s="16" t="s">
        <v>48</v>
      </c>
      <c r="N64" s="17"/>
      <c r="O64" s="15" t="s">
        <v>70</v>
      </c>
      <c r="P64" s="15" t="s">
        <v>85</v>
      </c>
      <c r="Q64" s="15" t="s">
        <v>157</v>
      </c>
      <c r="R64" s="17"/>
      <c r="S64" s="40" t="str">
        <f>"287,5"</f>
        <v>287,5</v>
      </c>
      <c r="T64" s="17" t="str">
        <f>"299,5750"</f>
        <v>299,5750</v>
      </c>
      <c r="U64" s="14" t="s">
        <v>274</v>
      </c>
    </row>
    <row r="65" spans="1:21">
      <c r="A65" s="17" t="s">
        <v>178</v>
      </c>
      <c r="B65" s="14" t="s">
        <v>275</v>
      </c>
      <c r="C65" s="14" t="s">
        <v>276</v>
      </c>
      <c r="D65" s="14" t="s">
        <v>277</v>
      </c>
      <c r="E65" s="14" t="str">
        <f>"1,0688"</f>
        <v>1,0688</v>
      </c>
      <c r="F65" s="14" t="s">
        <v>278</v>
      </c>
      <c r="G65" s="15" t="s">
        <v>81</v>
      </c>
      <c r="H65" s="15" t="s">
        <v>67</v>
      </c>
      <c r="I65" s="16" t="s">
        <v>36</v>
      </c>
      <c r="J65" s="17"/>
      <c r="K65" s="16" t="s">
        <v>25</v>
      </c>
      <c r="L65" s="15" t="s">
        <v>35</v>
      </c>
      <c r="M65" s="16" t="s">
        <v>26</v>
      </c>
      <c r="N65" s="17"/>
      <c r="O65" s="15" t="s">
        <v>56</v>
      </c>
      <c r="P65" s="15" t="s">
        <v>70</v>
      </c>
      <c r="Q65" s="15" t="s">
        <v>145</v>
      </c>
      <c r="R65" s="17"/>
      <c r="S65" s="40" t="str">
        <f>"267,5"</f>
        <v>267,5</v>
      </c>
      <c r="T65" s="17" t="str">
        <f>"285,9040"</f>
        <v>285,9040</v>
      </c>
      <c r="U65" s="14" t="s">
        <v>182</v>
      </c>
    </row>
    <row r="66" spans="1:21">
      <c r="A66" s="17" t="s">
        <v>183</v>
      </c>
      <c r="B66" s="14" t="s">
        <v>279</v>
      </c>
      <c r="C66" s="14" t="s">
        <v>280</v>
      </c>
      <c r="D66" s="14" t="s">
        <v>281</v>
      </c>
      <c r="E66" s="14" t="str">
        <f>"1,0663"</f>
        <v>1,0663</v>
      </c>
      <c r="F66" s="14" t="s">
        <v>102</v>
      </c>
      <c r="G66" s="15" t="s">
        <v>80</v>
      </c>
      <c r="H66" s="15" t="s">
        <v>146</v>
      </c>
      <c r="I66" s="15" t="s">
        <v>36</v>
      </c>
      <c r="J66" s="17"/>
      <c r="K66" s="15" t="s">
        <v>82</v>
      </c>
      <c r="L66" s="15" t="s">
        <v>103</v>
      </c>
      <c r="M66" s="16" t="s">
        <v>25</v>
      </c>
      <c r="N66" s="17"/>
      <c r="O66" s="15" t="s">
        <v>110</v>
      </c>
      <c r="P66" s="15" t="s">
        <v>49</v>
      </c>
      <c r="Q66" s="15" t="s">
        <v>55</v>
      </c>
      <c r="R66" s="17"/>
      <c r="S66" s="40" t="str">
        <f>"252,5"</f>
        <v>252,5</v>
      </c>
      <c r="T66" s="17" t="str">
        <f>"269,2408"</f>
        <v>269,2408</v>
      </c>
      <c r="U66" s="14" t="s">
        <v>105</v>
      </c>
    </row>
    <row r="67" spans="1:21">
      <c r="A67" s="17" t="s">
        <v>186</v>
      </c>
      <c r="B67" s="14" t="s">
        <v>282</v>
      </c>
      <c r="C67" s="14" t="s">
        <v>283</v>
      </c>
      <c r="D67" s="14" t="s">
        <v>284</v>
      </c>
      <c r="E67" s="14" t="str">
        <f>"1,1035"</f>
        <v>1,1035</v>
      </c>
      <c r="F67" s="14" t="s">
        <v>285</v>
      </c>
      <c r="G67" s="16" t="s">
        <v>33</v>
      </c>
      <c r="H67" s="16" t="s">
        <v>80</v>
      </c>
      <c r="I67" s="15" t="s">
        <v>80</v>
      </c>
      <c r="J67" s="17"/>
      <c r="K67" s="15" t="s">
        <v>21</v>
      </c>
      <c r="L67" s="15" t="s">
        <v>82</v>
      </c>
      <c r="M67" s="16" t="s">
        <v>103</v>
      </c>
      <c r="N67" s="17"/>
      <c r="O67" s="15" t="s">
        <v>36</v>
      </c>
      <c r="P67" s="15" t="s">
        <v>110</v>
      </c>
      <c r="Q67" s="16" t="s">
        <v>46</v>
      </c>
      <c r="R67" s="17"/>
      <c r="S67" s="40" t="str">
        <f>"217,5"</f>
        <v>217,5</v>
      </c>
      <c r="T67" s="17" t="str">
        <f>"240,0113"</f>
        <v>240,0113</v>
      </c>
      <c r="U67" s="14" t="s">
        <v>286</v>
      </c>
    </row>
    <row r="68" spans="1:21">
      <c r="A68" s="17" t="s">
        <v>92</v>
      </c>
      <c r="B68" s="14" t="s">
        <v>287</v>
      </c>
      <c r="C68" s="14" t="s">
        <v>288</v>
      </c>
      <c r="D68" s="14" t="s">
        <v>289</v>
      </c>
      <c r="E68" s="14" t="str">
        <f>"1,0328"</f>
        <v>1,0328</v>
      </c>
      <c r="F68" s="14" t="s">
        <v>290</v>
      </c>
      <c r="G68" s="16" t="s">
        <v>69</v>
      </c>
      <c r="H68" s="16" t="s">
        <v>56</v>
      </c>
      <c r="I68" s="16" t="s">
        <v>56</v>
      </c>
      <c r="J68" s="17"/>
      <c r="K68" s="17"/>
      <c r="L68" s="17"/>
      <c r="M68" s="17"/>
      <c r="N68" s="17"/>
      <c r="O68" s="17"/>
      <c r="P68" s="17"/>
      <c r="Q68" s="17"/>
      <c r="R68" s="17"/>
      <c r="S68" s="40">
        <v>0</v>
      </c>
      <c r="T68" s="17" t="str">
        <f>"0,0000"</f>
        <v>0,0000</v>
      </c>
      <c r="U68" s="14" t="s">
        <v>158</v>
      </c>
    </row>
    <row r="69" spans="1:21">
      <c r="A69" s="17" t="s">
        <v>92</v>
      </c>
      <c r="B69" s="14" t="s">
        <v>291</v>
      </c>
      <c r="C69" s="14" t="s">
        <v>292</v>
      </c>
      <c r="D69" s="14" t="s">
        <v>293</v>
      </c>
      <c r="E69" s="14" t="str">
        <f>"1,0239"</f>
        <v>1,0239</v>
      </c>
      <c r="F69" s="14" t="s">
        <v>294</v>
      </c>
      <c r="G69" s="16" t="s">
        <v>56</v>
      </c>
      <c r="H69" s="16" t="s">
        <v>56</v>
      </c>
      <c r="I69" s="16" t="s">
        <v>56</v>
      </c>
      <c r="J69" s="17"/>
      <c r="K69" s="17"/>
      <c r="L69" s="17"/>
      <c r="M69" s="17"/>
      <c r="N69" s="17"/>
      <c r="O69" s="17"/>
      <c r="P69" s="17"/>
      <c r="Q69" s="17"/>
      <c r="R69" s="17"/>
      <c r="S69" s="40">
        <v>0</v>
      </c>
      <c r="T69" s="17" t="str">
        <f>"0,0000"</f>
        <v>0,0000</v>
      </c>
      <c r="U69" s="14" t="s">
        <v>158</v>
      </c>
    </row>
    <row r="70" spans="1:21">
      <c r="A70" s="17" t="s">
        <v>15</v>
      </c>
      <c r="B70" s="14" t="s">
        <v>250</v>
      </c>
      <c r="C70" s="14" t="s">
        <v>295</v>
      </c>
      <c r="D70" s="14" t="s">
        <v>252</v>
      </c>
      <c r="E70" s="14" t="str">
        <f>"1,0432"</f>
        <v>1,0432</v>
      </c>
      <c r="F70" s="14" t="s">
        <v>253</v>
      </c>
      <c r="G70" s="15" t="s">
        <v>56</v>
      </c>
      <c r="H70" s="15" t="s">
        <v>145</v>
      </c>
      <c r="I70" s="15" t="s">
        <v>71</v>
      </c>
      <c r="J70" s="17"/>
      <c r="K70" s="15" t="s">
        <v>48</v>
      </c>
      <c r="L70" s="16" t="s">
        <v>33</v>
      </c>
      <c r="M70" s="16" t="s">
        <v>33</v>
      </c>
      <c r="N70" s="17"/>
      <c r="O70" s="15" t="s">
        <v>58</v>
      </c>
      <c r="P70" s="15" t="s">
        <v>60</v>
      </c>
      <c r="Q70" s="16" t="s">
        <v>254</v>
      </c>
      <c r="R70" s="17"/>
      <c r="S70" s="40" t="str">
        <f>"342,5"</f>
        <v>342,5</v>
      </c>
      <c r="T70" s="17" t="str">
        <f>"359,0825"</f>
        <v>359,0825</v>
      </c>
      <c r="U70" s="14" t="s">
        <v>255</v>
      </c>
    </row>
    <row r="71" spans="1:21">
      <c r="A71" s="20" t="s">
        <v>62</v>
      </c>
      <c r="B71" s="18" t="s">
        <v>296</v>
      </c>
      <c r="C71" s="18" t="s">
        <v>297</v>
      </c>
      <c r="D71" s="18" t="s">
        <v>298</v>
      </c>
      <c r="E71" s="18" t="str">
        <f>"1,0650"</f>
        <v>1,0650</v>
      </c>
      <c r="F71" s="18" t="s">
        <v>299</v>
      </c>
      <c r="G71" s="19" t="s">
        <v>33</v>
      </c>
      <c r="H71" s="19" t="s">
        <v>81</v>
      </c>
      <c r="I71" s="22" t="s">
        <v>36</v>
      </c>
      <c r="J71" s="20"/>
      <c r="K71" s="22" t="s">
        <v>135</v>
      </c>
      <c r="L71" s="19" t="s">
        <v>135</v>
      </c>
      <c r="M71" s="22" t="s">
        <v>82</v>
      </c>
      <c r="N71" s="20"/>
      <c r="O71" s="19" t="s">
        <v>36</v>
      </c>
      <c r="P71" s="19" t="s">
        <v>38</v>
      </c>
      <c r="Q71" s="22" t="s">
        <v>69</v>
      </c>
      <c r="R71" s="20"/>
      <c r="S71" s="38" t="str">
        <f>"217,5"</f>
        <v>217,5</v>
      </c>
      <c r="T71" s="20" t="str">
        <f>"231,6375"</f>
        <v>231,6375</v>
      </c>
      <c r="U71" s="18" t="s">
        <v>300</v>
      </c>
    </row>
    <row r="72" spans="1:21">
      <c r="B72" s="5" t="s">
        <v>40</v>
      </c>
    </row>
    <row r="73" spans="1:21" ht="15.95">
      <c r="A73" s="102" t="s">
        <v>301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</row>
    <row r="74" spans="1:21">
      <c r="A74" s="13" t="s">
        <v>15</v>
      </c>
      <c r="B74" s="11" t="s">
        <v>302</v>
      </c>
      <c r="C74" s="11" t="s">
        <v>303</v>
      </c>
      <c r="D74" s="11" t="s">
        <v>304</v>
      </c>
      <c r="E74" s="11" t="str">
        <f>"0,9919"</f>
        <v>0,9919</v>
      </c>
      <c r="F74" s="11" t="s">
        <v>91</v>
      </c>
      <c r="G74" s="21" t="s">
        <v>56</v>
      </c>
      <c r="H74" s="12" t="s">
        <v>56</v>
      </c>
      <c r="I74" s="13"/>
      <c r="J74" s="13"/>
      <c r="K74" s="12" t="s">
        <v>32</v>
      </c>
      <c r="L74" s="12" t="s">
        <v>57</v>
      </c>
      <c r="M74" s="13"/>
      <c r="N74" s="13"/>
      <c r="O74" s="12" t="s">
        <v>70</v>
      </c>
      <c r="P74" s="12" t="s">
        <v>145</v>
      </c>
      <c r="Q74" s="12" t="s">
        <v>85</v>
      </c>
      <c r="R74" s="13"/>
      <c r="S74" s="37" t="str">
        <f>"310,0"</f>
        <v>310,0</v>
      </c>
      <c r="T74" s="13" t="str">
        <f>"307,4890"</f>
        <v>307,4890</v>
      </c>
      <c r="U74" s="11" t="s">
        <v>305</v>
      </c>
    </row>
    <row r="75" spans="1:21">
      <c r="A75" s="17" t="s">
        <v>15</v>
      </c>
      <c r="B75" s="14" t="s">
        <v>306</v>
      </c>
      <c r="C75" s="14" t="s">
        <v>307</v>
      </c>
      <c r="D75" s="14" t="s">
        <v>308</v>
      </c>
      <c r="E75" s="14" t="str">
        <f>"0,9514"</f>
        <v>0,9514</v>
      </c>
      <c r="F75" s="14" t="s">
        <v>309</v>
      </c>
      <c r="G75" s="15" t="s">
        <v>70</v>
      </c>
      <c r="H75" s="15" t="s">
        <v>145</v>
      </c>
      <c r="I75" s="16" t="s">
        <v>71</v>
      </c>
      <c r="J75" s="17"/>
      <c r="K75" s="15" t="s">
        <v>82</v>
      </c>
      <c r="L75" s="15" t="s">
        <v>103</v>
      </c>
      <c r="M75" s="15" t="s">
        <v>25</v>
      </c>
      <c r="N75" s="17"/>
      <c r="O75" s="15" t="s">
        <v>60</v>
      </c>
      <c r="P75" s="16" t="s">
        <v>151</v>
      </c>
      <c r="Q75" s="16" t="s">
        <v>151</v>
      </c>
      <c r="R75" s="17"/>
      <c r="S75" s="40" t="str">
        <f>"330,0"</f>
        <v>330,0</v>
      </c>
      <c r="T75" s="17" t="str">
        <f>"313,9620"</f>
        <v>313,9620</v>
      </c>
      <c r="U75" s="14" t="s">
        <v>310</v>
      </c>
    </row>
    <row r="76" spans="1:21">
      <c r="A76" s="17" t="s">
        <v>15</v>
      </c>
      <c r="B76" s="14" t="s">
        <v>311</v>
      </c>
      <c r="C76" s="14" t="s">
        <v>312</v>
      </c>
      <c r="D76" s="14" t="s">
        <v>313</v>
      </c>
      <c r="E76" s="14" t="str">
        <f>"0,9522"</f>
        <v>0,9522</v>
      </c>
      <c r="F76" s="14" t="s">
        <v>314</v>
      </c>
      <c r="G76" s="16" t="s">
        <v>70</v>
      </c>
      <c r="H76" s="15" t="s">
        <v>70</v>
      </c>
      <c r="I76" s="16" t="s">
        <v>145</v>
      </c>
      <c r="J76" s="17"/>
      <c r="K76" s="15" t="s">
        <v>57</v>
      </c>
      <c r="L76" s="15" t="s">
        <v>33</v>
      </c>
      <c r="M76" s="15" t="s">
        <v>140</v>
      </c>
      <c r="N76" s="17"/>
      <c r="O76" s="15" t="s">
        <v>151</v>
      </c>
      <c r="P76" s="16" t="s">
        <v>248</v>
      </c>
      <c r="Q76" s="15" t="s">
        <v>248</v>
      </c>
      <c r="R76" s="17"/>
      <c r="S76" s="40" t="str">
        <f>"362,5"</f>
        <v>362,5</v>
      </c>
      <c r="T76" s="17" t="str">
        <f>"345,1725"</f>
        <v>345,1725</v>
      </c>
      <c r="U76" s="14" t="s">
        <v>315</v>
      </c>
    </row>
    <row r="77" spans="1:21">
      <c r="A77" s="17" t="s">
        <v>62</v>
      </c>
      <c r="B77" s="14" t="s">
        <v>306</v>
      </c>
      <c r="C77" s="14" t="s">
        <v>316</v>
      </c>
      <c r="D77" s="14" t="s">
        <v>308</v>
      </c>
      <c r="E77" s="14" t="str">
        <f>"0,9514"</f>
        <v>0,9514</v>
      </c>
      <c r="F77" s="14" t="s">
        <v>309</v>
      </c>
      <c r="G77" s="15" t="s">
        <v>70</v>
      </c>
      <c r="H77" s="15" t="s">
        <v>145</v>
      </c>
      <c r="I77" s="16" t="s">
        <v>71</v>
      </c>
      <c r="J77" s="17"/>
      <c r="K77" s="15" t="s">
        <v>82</v>
      </c>
      <c r="L77" s="15" t="s">
        <v>103</v>
      </c>
      <c r="M77" s="15" t="s">
        <v>25</v>
      </c>
      <c r="N77" s="17"/>
      <c r="O77" s="15" t="s">
        <v>60</v>
      </c>
      <c r="P77" s="16" t="s">
        <v>151</v>
      </c>
      <c r="Q77" s="16" t="s">
        <v>151</v>
      </c>
      <c r="R77" s="17"/>
      <c r="S77" s="40" t="str">
        <f>"330,0"</f>
        <v>330,0</v>
      </c>
      <c r="T77" s="17" t="str">
        <f>"313,9620"</f>
        <v>313,9620</v>
      </c>
      <c r="U77" s="14" t="s">
        <v>310</v>
      </c>
    </row>
    <row r="78" spans="1:21">
      <c r="A78" s="17" t="s">
        <v>73</v>
      </c>
      <c r="B78" s="14" t="s">
        <v>317</v>
      </c>
      <c r="C78" s="14" t="s">
        <v>318</v>
      </c>
      <c r="D78" s="14" t="s">
        <v>319</v>
      </c>
      <c r="E78" s="14" t="str">
        <f>"1,0121"</f>
        <v>1,0121</v>
      </c>
      <c r="F78" s="14" t="s">
        <v>134</v>
      </c>
      <c r="G78" s="15" t="s">
        <v>70</v>
      </c>
      <c r="H78" s="16" t="s">
        <v>71</v>
      </c>
      <c r="I78" s="16" t="s">
        <v>157</v>
      </c>
      <c r="J78" s="17"/>
      <c r="K78" s="15" t="s">
        <v>25</v>
      </c>
      <c r="L78" s="16" t="s">
        <v>26</v>
      </c>
      <c r="M78" s="16" t="s">
        <v>26</v>
      </c>
      <c r="N78" s="17"/>
      <c r="O78" s="15" t="s">
        <v>71</v>
      </c>
      <c r="P78" s="15" t="s">
        <v>58</v>
      </c>
      <c r="Q78" s="15" t="s">
        <v>59</v>
      </c>
      <c r="R78" s="17"/>
      <c r="S78" s="40" t="str">
        <f>"320,0"</f>
        <v>320,0</v>
      </c>
      <c r="T78" s="17" t="str">
        <f>"323,8720"</f>
        <v>323,8720</v>
      </c>
      <c r="U78" s="14" t="s">
        <v>320</v>
      </c>
    </row>
    <row r="79" spans="1:21">
      <c r="A79" s="17" t="s">
        <v>75</v>
      </c>
      <c r="B79" s="14" t="s">
        <v>321</v>
      </c>
      <c r="C79" s="14" t="s">
        <v>322</v>
      </c>
      <c r="D79" s="14" t="s">
        <v>323</v>
      </c>
      <c r="E79" s="14" t="str">
        <f>"0,9547"</f>
        <v>0,9547</v>
      </c>
      <c r="F79" s="14" t="s">
        <v>54</v>
      </c>
      <c r="G79" s="15" t="s">
        <v>146</v>
      </c>
      <c r="H79" s="15" t="s">
        <v>120</v>
      </c>
      <c r="I79" s="15" t="s">
        <v>36</v>
      </c>
      <c r="J79" s="17"/>
      <c r="K79" s="15" t="s">
        <v>34</v>
      </c>
      <c r="L79" s="15" t="s">
        <v>35</v>
      </c>
      <c r="M79" s="15" t="s">
        <v>26</v>
      </c>
      <c r="N79" s="17"/>
      <c r="O79" s="16" t="s">
        <v>47</v>
      </c>
      <c r="P79" s="15" t="s">
        <v>47</v>
      </c>
      <c r="Q79" s="15" t="s">
        <v>84</v>
      </c>
      <c r="R79" s="17"/>
      <c r="S79" s="40" t="str">
        <f>"267,5"</f>
        <v>267,5</v>
      </c>
      <c r="T79" s="17" t="str">
        <f>"255,3822"</f>
        <v>255,3822</v>
      </c>
      <c r="U79" s="14" t="s">
        <v>324</v>
      </c>
    </row>
    <row r="80" spans="1:21">
      <c r="A80" s="17" t="s">
        <v>92</v>
      </c>
      <c r="B80" s="14" t="s">
        <v>325</v>
      </c>
      <c r="C80" s="14" t="s">
        <v>326</v>
      </c>
      <c r="D80" s="14" t="s">
        <v>327</v>
      </c>
      <c r="E80" s="14" t="str">
        <f>"0,9716"</f>
        <v>0,9716</v>
      </c>
      <c r="F80" s="14" t="s">
        <v>91</v>
      </c>
      <c r="G80" s="16" t="s">
        <v>69</v>
      </c>
      <c r="H80" s="16" t="s">
        <v>69</v>
      </c>
      <c r="I80" s="16" t="s">
        <v>69</v>
      </c>
      <c r="J80" s="17"/>
      <c r="K80" s="16"/>
      <c r="L80" s="17"/>
      <c r="M80" s="17"/>
      <c r="N80" s="17"/>
      <c r="O80" s="16"/>
      <c r="P80" s="17"/>
      <c r="Q80" s="17"/>
      <c r="R80" s="17"/>
      <c r="S80" s="40">
        <v>0</v>
      </c>
      <c r="T80" s="17" t="str">
        <f>"0,0000"</f>
        <v>0,0000</v>
      </c>
      <c r="U80" s="14" t="s">
        <v>328</v>
      </c>
    </row>
    <row r="81" spans="1:21">
      <c r="A81" s="20" t="s">
        <v>15</v>
      </c>
      <c r="B81" s="18" t="s">
        <v>329</v>
      </c>
      <c r="C81" s="18" t="s">
        <v>330</v>
      </c>
      <c r="D81" s="18" t="s">
        <v>331</v>
      </c>
      <c r="E81" s="18" t="str">
        <f>"0,9506"</f>
        <v>0,9506</v>
      </c>
      <c r="F81" s="18" t="s">
        <v>332</v>
      </c>
      <c r="G81" s="19" t="s">
        <v>67</v>
      </c>
      <c r="H81" s="19" t="s">
        <v>36</v>
      </c>
      <c r="I81" s="19" t="s">
        <v>37</v>
      </c>
      <c r="J81" s="20"/>
      <c r="K81" s="19" t="s">
        <v>25</v>
      </c>
      <c r="L81" s="19" t="s">
        <v>35</v>
      </c>
      <c r="M81" s="22" t="s">
        <v>26</v>
      </c>
      <c r="N81" s="20"/>
      <c r="O81" s="19" t="s">
        <v>49</v>
      </c>
      <c r="P81" s="22" t="s">
        <v>69</v>
      </c>
      <c r="Q81" s="22" t="s">
        <v>55</v>
      </c>
      <c r="R81" s="20"/>
      <c r="S81" s="38" t="str">
        <f>"257,5"</f>
        <v>257,5</v>
      </c>
      <c r="T81" s="20" t="str">
        <f>"300,5892"</f>
        <v>300,5892</v>
      </c>
      <c r="U81" s="18" t="s">
        <v>333</v>
      </c>
    </row>
    <row r="82" spans="1:21">
      <c r="B82" s="5" t="s">
        <v>40</v>
      </c>
    </row>
    <row r="83" spans="1:21" ht="15.95">
      <c r="A83" s="102" t="s">
        <v>334</v>
      </c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</row>
    <row r="84" spans="1:21">
      <c r="A84" s="10" t="s">
        <v>15</v>
      </c>
      <c r="B84" s="7" t="s">
        <v>335</v>
      </c>
      <c r="C84" s="7" t="s">
        <v>336</v>
      </c>
      <c r="D84" s="7" t="s">
        <v>337</v>
      </c>
      <c r="E84" s="7" t="str">
        <f>"0,9189"</f>
        <v>0,9189</v>
      </c>
      <c r="F84" s="7" t="s">
        <v>338</v>
      </c>
      <c r="G84" s="9" t="s">
        <v>58</v>
      </c>
      <c r="H84" s="8" t="s">
        <v>59</v>
      </c>
      <c r="I84" s="8" t="s">
        <v>204</v>
      </c>
      <c r="J84" s="10"/>
      <c r="K84" s="8" t="s">
        <v>33</v>
      </c>
      <c r="L84" s="8" t="s">
        <v>104</v>
      </c>
      <c r="M84" s="9" t="s">
        <v>146</v>
      </c>
      <c r="N84" s="10"/>
      <c r="O84" s="9" t="s">
        <v>58</v>
      </c>
      <c r="P84" s="9" t="s">
        <v>58</v>
      </c>
      <c r="Q84" s="8" t="s">
        <v>59</v>
      </c>
      <c r="R84" s="10"/>
      <c r="S84" s="41" t="str">
        <f>"370,0"</f>
        <v>370,0</v>
      </c>
      <c r="T84" s="10" t="str">
        <f>"339,9930"</f>
        <v>339,9930</v>
      </c>
      <c r="U84" s="7" t="s">
        <v>158</v>
      </c>
    </row>
    <row r="85" spans="1:21">
      <c r="B85" s="5" t="s">
        <v>40</v>
      </c>
    </row>
    <row r="86" spans="1:21" ht="15.95">
      <c r="A86" s="102" t="s">
        <v>98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</row>
    <row r="87" spans="1:21">
      <c r="A87" s="10" t="s">
        <v>15</v>
      </c>
      <c r="B87" s="7" t="s">
        <v>339</v>
      </c>
      <c r="C87" s="7" t="s">
        <v>340</v>
      </c>
      <c r="D87" s="7" t="s">
        <v>341</v>
      </c>
      <c r="E87" s="7" t="str">
        <f>"1,0058"</f>
        <v>1,0058</v>
      </c>
      <c r="F87" s="7" t="s">
        <v>176</v>
      </c>
      <c r="G87" s="8" t="s">
        <v>37</v>
      </c>
      <c r="H87" s="8" t="s">
        <v>38</v>
      </c>
      <c r="I87" s="9" t="s">
        <v>49</v>
      </c>
      <c r="J87" s="10"/>
      <c r="K87" s="8" t="s">
        <v>57</v>
      </c>
      <c r="L87" s="9" t="s">
        <v>140</v>
      </c>
      <c r="M87" s="9" t="s">
        <v>140</v>
      </c>
      <c r="N87" s="10"/>
      <c r="O87" s="8" t="s">
        <v>209</v>
      </c>
      <c r="P87" s="8" t="s">
        <v>59</v>
      </c>
      <c r="Q87" s="8" t="s">
        <v>342</v>
      </c>
      <c r="R87" s="10"/>
      <c r="S87" s="41" t="str">
        <f>"320,0"</f>
        <v>320,0</v>
      </c>
      <c r="T87" s="10" t="str">
        <f>"321,8560"</f>
        <v>321,8560</v>
      </c>
      <c r="U87" s="7" t="s">
        <v>343</v>
      </c>
    </row>
    <row r="88" spans="1:21">
      <c r="B88" s="5" t="s">
        <v>40</v>
      </c>
    </row>
    <row r="89" spans="1:21" ht="15.95">
      <c r="A89" s="102" t="s">
        <v>141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</row>
    <row r="90" spans="1:21">
      <c r="A90" s="10" t="s">
        <v>15</v>
      </c>
      <c r="B90" s="7" t="s">
        <v>344</v>
      </c>
      <c r="C90" s="7" t="s">
        <v>345</v>
      </c>
      <c r="D90" s="7" t="s">
        <v>193</v>
      </c>
      <c r="E90" s="7" t="str">
        <f>"0,9300"</f>
        <v>0,9300</v>
      </c>
      <c r="F90" s="7" t="s">
        <v>125</v>
      </c>
      <c r="G90" s="8" t="s">
        <v>147</v>
      </c>
      <c r="H90" s="9" t="s">
        <v>346</v>
      </c>
      <c r="I90" s="9" t="s">
        <v>346</v>
      </c>
      <c r="J90" s="10"/>
      <c r="K90" s="8" t="s">
        <v>38</v>
      </c>
      <c r="L90" s="8" t="s">
        <v>47</v>
      </c>
      <c r="M90" s="9" t="s">
        <v>69</v>
      </c>
      <c r="N90" s="10"/>
      <c r="O90" s="9" t="s">
        <v>347</v>
      </c>
      <c r="P90" s="9" t="s">
        <v>347</v>
      </c>
      <c r="Q90" s="8" t="s">
        <v>347</v>
      </c>
      <c r="R90" s="10"/>
      <c r="S90" s="41" t="str">
        <f>"412,5"</f>
        <v>412,5</v>
      </c>
      <c r="T90" s="10" t="str">
        <f>"383,6250"</f>
        <v>383,6250</v>
      </c>
      <c r="U90" s="7" t="s">
        <v>126</v>
      </c>
    </row>
    <row r="91" spans="1:21">
      <c r="B91" s="5" t="s">
        <v>40</v>
      </c>
    </row>
    <row r="92" spans="1:21" ht="15.95">
      <c r="A92" s="102" t="s">
        <v>195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</row>
    <row r="93" spans="1:21">
      <c r="A93" s="10" t="s">
        <v>15</v>
      </c>
      <c r="B93" s="7" t="s">
        <v>348</v>
      </c>
      <c r="C93" s="7" t="s">
        <v>349</v>
      </c>
      <c r="D93" s="7" t="s">
        <v>202</v>
      </c>
      <c r="E93" s="7" t="str">
        <f>"0,8529"</f>
        <v>0,8529</v>
      </c>
      <c r="F93" s="7" t="s">
        <v>350</v>
      </c>
      <c r="G93" s="8" t="s">
        <v>71</v>
      </c>
      <c r="H93" s="9" t="s">
        <v>209</v>
      </c>
      <c r="I93" s="8" t="s">
        <v>209</v>
      </c>
      <c r="J93" s="10"/>
      <c r="K93" s="8" t="s">
        <v>46</v>
      </c>
      <c r="L93" s="8" t="s">
        <v>47</v>
      </c>
      <c r="M93" s="9" t="s">
        <v>55</v>
      </c>
      <c r="N93" s="10"/>
      <c r="O93" s="8" t="s">
        <v>152</v>
      </c>
      <c r="P93" s="8" t="s">
        <v>248</v>
      </c>
      <c r="Q93" s="8" t="s">
        <v>351</v>
      </c>
      <c r="R93" s="10"/>
      <c r="S93" s="41" t="str">
        <f>"417,5"</f>
        <v>417,5</v>
      </c>
      <c r="T93" s="10" t="str">
        <f>"356,0858"</f>
        <v>356,0858</v>
      </c>
      <c r="U93" s="7" t="s">
        <v>352</v>
      </c>
    </row>
    <row r="94" spans="1:21">
      <c r="B94" s="5" t="s">
        <v>40</v>
      </c>
    </row>
    <row r="95" spans="1:21" ht="15.95">
      <c r="A95" s="102" t="s">
        <v>241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</row>
    <row r="96" spans="1:21">
      <c r="A96" s="13" t="s">
        <v>15</v>
      </c>
      <c r="B96" s="11" t="s">
        <v>353</v>
      </c>
      <c r="C96" s="11" t="s">
        <v>354</v>
      </c>
      <c r="D96" s="11" t="s">
        <v>355</v>
      </c>
      <c r="E96" s="11" t="str">
        <f>"0,8246"</f>
        <v>0,8246</v>
      </c>
      <c r="F96" s="11" t="s">
        <v>356</v>
      </c>
      <c r="G96" s="12" t="s">
        <v>38</v>
      </c>
      <c r="H96" s="21" t="s">
        <v>56</v>
      </c>
      <c r="I96" s="21" t="s">
        <v>84</v>
      </c>
      <c r="J96" s="13"/>
      <c r="K96" s="21" t="s">
        <v>26</v>
      </c>
      <c r="L96" s="12" t="s">
        <v>26</v>
      </c>
      <c r="M96" s="21" t="s">
        <v>33</v>
      </c>
      <c r="N96" s="13"/>
      <c r="O96" s="12" t="s">
        <v>38</v>
      </c>
      <c r="P96" s="12" t="s">
        <v>69</v>
      </c>
      <c r="Q96" s="12" t="s">
        <v>70</v>
      </c>
      <c r="R96" s="13"/>
      <c r="S96" s="37" t="str">
        <f>"280,0"</f>
        <v>280,0</v>
      </c>
      <c r="T96" s="13" t="str">
        <f>"230,8880"</f>
        <v>230,8880</v>
      </c>
      <c r="U96" s="11" t="s">
        <v>158</v>
      </c>
    </row>
    <row r="97" spans="1:21">
      <c r="A97" s="17" t="s">
        <v>62</v>
      </c>
      <c r="B97" s="14" t="s">
        <v>357</v>
      </c>
      <c r="C97" s="14" t="s">
        <v>358</v>
      </c>
      <c r="D97" s="14" t="s">
        <v>359</v>
      </c>
      <c r="E97" s="14" t="str">
        <f>"0,8415"</f>
        <v>0,8415</v>
      </c>
      <c r="F97" s="14" t="s">
        <v>91</v>
      </c>
      <c r="G97" s="15" t="s">
        <v>26</v>
      </c>
      <c r="H97" s="15" t="s">
        <v>32</v>
      </c>
      <c r="I97" s="15" t="s">
        <v>33</v>
      </c>
      <c r="J97" s="17"/>
      <c r="K97" s="15" t="s">
        <v>22</v>
      </c>
      <c r="L97" s="15" t="s">
        <v>83</v>
      </c>
      <c r="M97" s="15" t="s">
        <v>103</v>
      </c>
      <c r="N97" s="17"/>
      <c r="O97" s="15" t="s">
        <v>81</v>
      </c>
      <c r="P97" s="15" t="s">
        <v>67</v>
      </c>
      <c r="Q97" s="15" t="s">
        <v>120</v>
      </c>
      <c r="R97" s="17"/>
      <c r="S97" s="40" t="str">
        <f>"207,5"</f>
        <v>207,5</v>
      </c>
      <c r="T97" s="17" t="str">
        <f>"174,6112"</f>
        <v>174,6112</v>
      </c>
      <c r="U97" s="14" t="s">
        <v>360</v>
      </c>
    </row>
    <row r="98" spans="1:21">
      <c r="A98" s="17" t="s">
        <v>92</v>
      </c>
      <c r="B98" s="14" t="s">
        <v>361</v>
      </c>
      <c r="C98" s="14" t="s">
        <v>362</v>
      </c>
      <c r="D98" s="14" t="s">
        <v>363</v>
      </c>
      <c r="E98" s="14" t="str">
        <f>"0,7973"</f>
        <v>0,7973</v>
      </c>
      <c r="F98" s="14" t="s">
        <v>364</v>
      </c>
      <c r="G98" s="16" t="s">
        <v>58</v>
      </c>
      <c r="H98" s="16" t="s">
        <v>58</v>
      </c>
      <c r="I98" s="16" t="s">
        <v>58</v>
      </c>
      <c r="J98" s="17"/>
      <c r="K98" s="17"/>
      <c r="L98" s="17"/>
      <c r="M98" s="16"/>
      <c r="N98" s="17"/>
      <c r="O98" s="17"/>
      <c r="P98" s="17"/>
      <c r="Q98" s="16"/>
      <c r="R98" s="17"/>
      <c r="S98" s="40">
        <v>0</v>
      </c>
      <c r="T98" s="17" t="str">
        <f>"0,0000"</f>
        <v>0,0000</v>
      </c>
      <c r="U98" s="14" t="s">
        <v>158</v>
      </c>
    </row>
    <row r="99" spans="1:21">
      <c r="A99" s="17" t="s">
        <v>15</v>
      </c>
      <c r="B99" s="14" t="s">
        <v>365</v>
      </c>
      <c r="C99" s="14" t="s">
        <v>366</v>
      </c>
      <c r="D99" s="14" t="s">
        <v>367</v>
      </c>
      <c r="E99" s="14" t="str">
        <f>"0,7794"</f>
        <v>0,7794</v>
      </c>
      <c r="F99" s="14" t="s">
        <v>91</v>
      </c>
      <c r="G99" s="15" t="s">
        <v>204</v>
      </c>
      <c r="H99" s="15" t="s">
        <v>254</v>
      </c>
      <c r="I99" s="16" t="s">
        <v>152</v>
      </c>
      <c r="J99" s="17"/>
      <c r="K99" s="15" t="s">
        <v>110</v>
      </c>
      <c r="L99" s="15" t="s">
        <v>49</v>
      </c>
      <c r="M99" s="15" t="s">
        <v>47</v>
      </c>
      <c r="N99" s="17"/>
      <c r="O99" s="15" t="s">
        <v>351</v>
      </c>
      <c r="P99" s="16" t="s">
        <v>368</v>
      </c>
      <c r="Q99" s="15" t="s">
        <v>368</v>
      </c>
      <c r="R99" s="17"/>
      <c r="S99" s="40" t="str">
        <f>"450,0"</f>
        <v>450,0</v>
      </c>
      <c r="T99" s="17" t="str">
        <f>"350,7300"</f>
        <v>350,7300</v>
      </c>
      <c r="U99" s="14" t="s">
        <v>158</v>
      </c>
    </row>
    <row r="100" spans="1:21">
      <c r="A100" s="17" t="s">
        <v>62</v>
      </c>
      <c r="B100" s="14" t="s">
        <v>369</v>
      </c>
      <c r="C100" s="14" t="s">
        <v>370</v>
      </c>
      <c r="D100" s="14" t="s">
        <v>244</v>
      </c>
      <c r="E100" s="14" t="str">
        <f>"0,7983"</f>
        <v>0,7983</v>
      </c>
      <c r="F100" s="14" t="s">
        <v>166</v>
      </c>
      <c r="G100" s="15" t="s">
        <v>209</v>
      </c>
      <c r="H100" s="15" t="s">
        <v>346</v>
      </c>
      <c r="I100" s="16" t="s">
        <v>204</v>
      </c>
      <c r="J100" s="17"/>
      <c r="K100" s="15" t="s">
        <v>38</v>
      </c>
      <c r="L100" s="15" t="s">
        <v>49</v>
      </c>
      <c r="M100" s="15" t="s">
        <v>47</v>
      </c>
      <c r="N100" s="17"/>
      <c r="O100" s="15" t="s">
        <v>60</v>
      </c>
      <c r="P100" s="15" t="s">
        <v>151</v>
      </c>
      <c r="Q100" s="15" t="s">
        <v>347</v>
      </c>
      <c r="R100" s="17"/>
      <c r="S100" s="40" t="str">
        <f>"417,5"</f>
        <v>417,5</v>
      </c>
      <c r="T100" s="17" t="str">
        <f>"333,2903"</f>
        <v>333,2903</v>
      </c>
      <c r="U100" s="14" t="s">
        <v>167</v>
      </c>
    </row>
    <row r="101" spans="1:21">
      <c r="A101" s="17" t="s">
        <v>73</v>
      </c>
      <c r="B101" s="14" t="s">
        <v>371</v>
      </c>
      <c r="C101" s="14" t="s">
        <v>372</v>
      </c>
      <c r="D101" s="14" t="s">
        <v>373</v>
      </c>
      <c r="E101" s="14" t="str">
        <f>"0,7747"</f>
        <v>0,7747</v>
      </c>
      <c r="F101" s="14" t="s">
        <v>109</v>
      </c>
      <c r="G101" s="16" t="s">
        <v>71</v>
      </c>
      <c r="H101" s="15" t="s">
        <v>147</v>
      </c>
      <c r="I101" s="16" t="s">
        <v>205</v>
      </c>
      <c r="J101" s="17"/>
      <c r="K101" s="15" t="s">
        <v>81</v>
      </c>
      <c r="L101" s="15" t="s">
        <v>120</v>
      </c>
      <c r="M101" s="16" t="s">
        <v>68</v>
      </c>
      <c r="N101" s="17"/>
      <c r="O101" s="15" t="s">
        <v>248</v>
      </c>
      <c r="P101" s="15" t="s">
        <v>368</v>
      </c>
      <c r="Q101" s="16" t="s">
        <v>374</v>
      </c>
      <c r="R101" s="17"/>
      <c r="S101" s="40" t="str">
        <f>"410,0"</f>
        <v>410,0</v>
      </c>
      <c r="T101" s="17" t="str">
        <f>"317,6270"</f>
        <v>317,6270</v>
      </c>
      <c r="U101" s="14" t="s">
        <v>111</v>
      </c>
    </row>
    <row r="102" spans="1:21">
      <c r="A102" s="17" t="s">
        <v>15</v>
      </c>
      <c r="B102" s="14" t="s">
        <v>375</v>
      </c>
      <c r="C102" s="14" t="s">
        <v>376</v>
      </c>
      <c r="D102" s="14" t="s">
        <v>377</v>
      </c>
      <c r="E102" s="14" t="str">
        <f>"0,7823"</f>
        <v>0,7823</v>
      </c>
      <c r="F102" s="14" t="s">
        <v>378</v>
      </c>
      <c r="G102" s="15" t="s">
        <v>70</v>
      </c>
      <c r="H102" s="15" t="s">
        <v>209</v>
      </c>
      <c r="I102" s="16" t="s">
        <v>346</v>
      </c>
      <c r="J102" s="17"/>
      <c r="K102" s="15" t="s">
        <v>70</v>
      </c>
      <c r="L102" s="15" t="s">
        <v>145</v>
      </c>
      <c r="M102" s="16" t="s">
        <v>71</v>
      </c>
      <c r="N102" s="17"/>
      <c r="O102" s="15" t="s">
        <v>248</v>
      </c>
      <c r="P102" s="16" t="s">
        <v>368</v>
      </c>
      <c r="Q102" s="15" t="s">
        <v>368</v>
      </c>
      <c r="R102" s="17"/>
      <c r="S102" s="40" t="str">
        <f>"445,0"</f>
        <v>445,0</v>
      </c>
      <c r="T102" s="17" t="str">
        <f>"348,1235"</f>
        <v>348,1235</v>
      </c>
      <c r="U102" s="14" t="s">
        <v>379</v>
      </c>
    </row>
    <row r="103" spans="1:21">
      <c r="A103" s="17" t="s">
        <v>15</v>
      </c>
      <c r="B103" s="14" t="s">
        <v>380</v>
      </c>
      <c r="C103" s="14" t="s">
        <v>381</v>
      </c>
      <c r="D103" s="14" t="s">
        <v>367</v>
      </c>
      <c r="E103" s="14" t="str">
        <f>"0,7794"</f>
        <v>0,7794</v>
      </c>
      <c r="F103" s="14" t="s">
        <v>382</v>
      </c>
      <c r="G103" s="15" t="s">
        <v>60</v>
      </c>
      <c r="H103" s="16" t="s">
        <v>151</v>
      </c>
      <c r="I103" s="15" t="s">
        <v>152</v>
      </c>
      <c r="J103" s="17"/>
      <c r="K103" s="15" t="s">
        <v>38</v>
      </c>
      <c r="L103" s="16" t="s">
        <v>47</v>
      </c>
      <c r="M103" s="15" t="s">
        <v>69</v>
      </c>
      <c r="N103" s="17"/>
      <c r="O103" s="15" t="s">
        <v>383</v>
      </c>
      <c r="P103" s="15" t="s">
        <v>384</v>
      </c>
      <c r="Q103" s="16" t="s">
        <v>385</v>
      </c>
      <c r="R103" s="17"/>
      <c r="S103" s="40" t="str">
        <f>"485,0"</f>
        <v>485,0</v>
      </c>
      <c r="T103" s="17" t="str">
        <f>"378,0090"</f>
        <v>378,0090</v>
      </c>
      <c r="U103" s="14" t="s">
        <v>386</v>
      </c>
    </row>
    <row r="104" spans="1:21">
      <c r="A104" s="20" t="s">
        <v>62</v>
      </c>
      <c r="B104" s="18" t="s">
        <v>369</v>
      </c>
      <c r="C104" s="18" t="s">
        <v>387</v>
      </c>
      <c r="D104" s="18" t="s">
        <v>244</v>
      </c>
      <c r="E104" s="18" t="str">
        <f>"0,7983"</f>
        <v>0,7983</v>
      </c>
      <c r="F104" s="18" t="s">
        <v>166</v>
      </c>
      <c r="G104" s="19" t="s">
        <v>209</v>
      </c>
      <c r="H104" s="19" t="s">
        <v>346</v>
      </c>
      <c r="I104" s="22" t="s">
        <v>204</v>
      </c>
      <c r="J104" s="20"/>
      <c r="K104" s="19" t="s">
        <v>38</v>
      </c>
      <c r="L104" s="19" t="s">
        <v>49</v>
      </c>
      <c r="M104" s="19" t="s">
        <v>47</v>
      </c>
      <c r="N104" s="20"/>
      <c r="O104" s="19" t="s">
        <v>60</v>
      </c>
      <c r="P104" s="19" t="s">
        <v>151</v>
      </c>
      <c r="Q104" s="19" t="s">
        <v>347</v>
      </c>
      <c r="R104" s="20"/>
      <c r="S104" s="38" t="str">
        <f>"417,5"</f>
        <v>417,5</v>
      </c>
      <c r="T104" s="20" t="str">
        <f>"333,2903"</f>
        <v>333,2903</v>
      </c>
      <c r="U104" s="18" t="s">
        <v>167</v>
      </c>
    </row>
    <row r="105" spans="1:21">
      <c r="B105" s="5" t="s">
        <v>40</v>
      </c>
    </row>
    <row r="106" spans="1:21" ht="15.95">
      <c r="A106" s="102" t="s">
        <v>301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</row>
    <row r="107" spans="1:21">
      <c r="A107" s="13" t="s">
        <v>15</v>
      </c>
      <c r="B107" s="11" t="s">
        <v>388</v>
      </c>
      <c r="C107" s="11" t="s">
        <v>389</v>
      </c>
      <c r="D107" s="11" t="s">
        <v>390</v>
      </c>
      <c r="E107" s="11" t="str">
        <f>"0,7200"</f>
        <v>0,7200</v>
      </c>
      <c r="F107" s="11" t="s">
        <v>391</v>
      </c>
      <c r="G107" s="12" t="s">
        <v>209</v>
      </c>
      <c r="H107" s="21" t="s">
        <v>59</v>
      </c>
      <c r="I107" s="21" t="s">
        <v>205</v>
      </c>
      <c r="J107" s="13"/>
      <c r="K107" s="12" t="s">
        <v>55</v>
      </c>
      <c r="L107" s="12" t="s">
        <v>84</v>
      </c>
      <c r="M107" s="21" t="s">
        <v>162</v>
      </c>
      <c r="N107" s="13"/>
      <c r="O107" s="12" t="s">
        <v>351</v>
      </c>
      <c r="P107" s="12" t="s">
        <v>368</v>
      </c>
      <c r="Q107" s="21" t="s">
        <v>392</v>
      </c>
      <c r="R107" s="13"/>
      <c r="S107" s="37" t="str">
        <f>"437,5"</f>
        <v>437,5</v>
      </c>
      <c r="T107" s="13" t="str">
        <f>"315,0000"</f>
        <v>315,0000</v>
      </c>
      <c r="U107" s="11" t="s">
        <v>393</v>
      </c>
    </row>
    <row r="108" spans="1:21">
      <c r="A108" s="17" t="s">
        <v>15</v>
      </c>
      <c r="B108" s="14" t="s">
        <v>394</v>
      </c>
      <c r="C108" s="14" t="s">
        <v>395</v>
      </c>
      <c r="D108" s="14" t="s">
        <v>396</v>
      </c>
      <c r="E108" s="14" t="str">
        <f>"0,7256"</f>
        <v>0,7256</v>
      </c>
      <c r="F108" s="14" t="s">
        <v>397</v>
      </c>
      <c r="G108" s="15" t="s">
        <v>209</v>
      </c>
      <c r="H108" s="15" t="s">
        <v>60</v>
      </c>
      <c r="I108" s="16" t="s">
        <v>152</v>
      </c>
      <c r="J108" s="17"/>
      <c r="K108" s="15" t="s">
        <v>56</v>
      </c>
      <c r="L108" s="15" t="s">
        <v>145</v>
      </c>
      <c r="M108" s="15" t="s">
        <v>209</v>
      </c>
      <c r="N108" s="17"/>
      <c r="O108" s="15" t="s">
        <v>398</v>
      </c>
      <c r="P108" s="15" t="s">
        <v>383</v>
      </c>
      <c r="Q108" s="15" t="s">
        <v>399</v>
      </c>
      <c r="R108" s="17"/>
      <c r="S108" s="40" t="str">
        <f>"490,0"</f>
        <v>490,0</v>
      </c>
      <c r="T108" s="17" t="str">
        <f>"355,5440"</f>
        <v>355,5440</v>
      </c>
      <c r="U108" s="14" t="s">
        <v>158</v>
      </c>
    </row>
    <row r="109" spans="1:21">
      <c r="A109" s="17" t="s">
        <v>62</v>
      </c>
      <c r="B109" s="14" t="s">
        <v>400</v>
      </c>
      <c r="C109" s="14" t="s">
        <v>401</v>
      </c>
      <c r="D109" s="14" t="s">
        <v>402</v>
      </c>
      <c r="E109" s="14" t="str">
        <f>"0,7285"</f>
        <v>0,7285</v>
      </c>
      <c r="F109" s="14" t="s">
        <v>403</v>
      </c>
      <c r="G109" s="15" t="s">
        <v>71</v>
      </c>
      <c r="H109" s="15" t="s">
        <v>59</v>
      </c>
      <c r="I109" s="15" t="s">
        <v>205</v>
      </c>
      <c r="J109" s="17"/>
      <c r="K109" s="15" t="s">
        <v>38</v>
      </c>
      <c r="L109" s="15" t="s">
        <v>47</v>
      </c>
      <c r="M109" s="16" t="s">
        <v>69</v>
      </c>
      <c r="N109" s="17"/>
      <c r="O109" s="15" t="s">
        <v>248</v>
      </c>
      <c r="P109" s="15" t="s">
        <v>392</v>
      </c>
      <c r="Q109" s="15" t="s">
        <v>374</v>
      </c>
      <c r="R109" s="17"/>
      <c r="S109" s="40" t="str">
        <f>"462,5"</f>
        <v>462,5</v>
      </c>
      <c r="T109" s="17" t="str">
        <f>"336,9313"</f>
        <v>336,9313</v>
      </c>
      <c r="U109" s="14" t="s">
        <v>158</v>
      </c>
    </row>
    <row r="110" spans="1:21">
      <c r="A110" s="17" t="s">
        <v>73</v>
      </c>
      <c r="B110" s="14" t="s">
        <v>404</v>
      </c>
      <c r="C110" s="14" t="s">
        <v>405</v>
      </c>
      <c r="D110" s="14" t="s">
        <v>406</v>
      </c>
      <c r="E110" s="14" t="str">
        <f>"0,7383"</f>
        <v>0,7383</v>
      </c>
      <c r="F110" s="14" t="s">
        <v>407</v>
      </c>
      <c r="G110" s="15" t="s">
        <v>58</v>
      </c>
      <c r="H110" s="15" t="s">
        <v>204</v>
      </c>
      <c r="I110" s="15" t="s">
        <v>342</v>
      </c>
      <c r="J110" s="17"/>
      <c r="K110" s="15" t="s">
        <v>69</v>
      </c>
      <c r="L110" s="15" t="s">
        <v>84</v>
      </c>
      <c r="M110" s="15" t="s">
        <v>70</v>
      </c>
      <c r="N110" s="17"/>
      <c r="O110" s="15" t="s">
        <v>151</v>
      </c>
      <c r="P110" s="15" t="s">
        <v>248</v>
      </c>
      <c r="Q110" s="16" t="s">
        <v>398</v>
      </c>
      <c r="R110" s="17"/>
      <c r="S110" s="40" t="str">
        <f>"442,5"</f>
        <v>442,5</v>
      </c>
      <c r="T110" s="17" t="str">
        <f>"326,6978"</f>
        <v>326,6978</v>
      </c>
      <c r="U110" s="14" t="s">
        <v>408</v>
      </c>
    </row>
    <row r="111" spans="1:21">
      <c r="A111" s="17" t="s">
        <v>75</v>
      </c>
      <c r="B111" s="14" t="s">
        <v>409</v>
      </c>
      <c r="C111" s="14" t="s">
        <v>410</v>
      </c>
      <c r="D111" s="14" t="s">
        <v>411</v>
      </c>
      <c r="E111" s="14" t="str">
        <f>"0,7552"</f>
        <v>0,7552</v>
      </c>
      <c r="F111" s="14" t="s">
        <v>91</v>
      </c>
      <c r="G111" s="15" t="s">
        <v>58</v>
      </c>
      <c r="H111" s="15" t="s">
        <v>60</v>
      </c>
      <c r="I111" s="16" t="s">
        <v>151</v>
      </c>
      <c r="J111" s="17"/>
      <c r="K111" s="15" t="s">
        <v>36</v>
      </c>
      <c r="L111" s="16" t="s">
        <v>38</v>
      </c>
      <c r="M111" s="16" t="s">
        <v>38</v>
      </c>
      <c r="N111" s="17"/>
      <c r="O111" s="16" t="s">
        <v>398</v>
      </c>
      <c r="P111" s="15" t="s">
        <v>398</v>
      </c>
      <c r="Q111" s="16" t="s">
        <v>392</v>
      </c>
      <c r="R111" s="17"/>
      <c r="S111" s="40" t="str">
        <f>"420,0"</f>
        <v>420,0</v>
      </c>
      <c r="T111" s="17" t="str">
        <f>"317,1840"</f>
        <v>317,1840</v>
      </c>
      <c r="U111" s="14" t="s">
        <v>158</v>
      </c>
    </row>
    <row r="112" spans="1:21">
      <c r="A112" s="17" t="s">
        <v>87</v>
      </c>
      <c r="B112" s="14" t="s">
        <v>412</v>
      </c>
      <c r="C112" s="14" t="s">
        <v>413</v>
      </c>
      <c r="D112" s="14" t="s">
        <v>331</v>
      </c>
      <c r="E112" s="14" t="str">
        <f>"0,7126"</f>
        <v>0,7126</v>
      </c>
      <c r="F112" s="14" t="s">
        <v>309</v>
      </c>
      <c r="G112" s="16" t="s">
        <v>58</v>
      </c>
      <c r="H112" s="16" t="s">
        <v>59</v>
      </c>
      <c r="I112" s="15" t="s">
        <v>59</v>
      </c>
      <c r="J112" s="17"/>
      <c r="K112" s="15" t="s">
        <v>32</v>
      </c>
      <c r="L112" s="15" t="s">
        <v>33</v>
      </c>
      <c r="M112" s="15" t="s">
        <v>80</v>
      </c>
      <c r="N112" s="17"/>
      <c r="O112" s="15" t="s">
        <v>60</v>
      </c>
      <c r="P112" s="15" t="s">
        <v>151</v>
      </c>
      <c r="Q112" s="16" t="s">
        <v>248</v>
      </c>
      <c r="R112" s="17"/>
      <c r="S112" s="40" t="str">
        <f>"380,0"</f>
        <v>380,0</v>
      </c>
      <c r="T112" s="17" t="str">
        <f>"270,7880"</f>
        <v>270,7880</v>
      </c>
      <c r="U112" s="14" t="s">
        <v>310</v>
      </c>
    </row>
    <row r="113" spans="1:21">
      <c r="A113" s="17" t="s">
        <v>168</v>
      </c>
      <c r="B113" s="14" t="s">
        <v>414</v>
      </c>
      <c r="C113" s="14" t="s">
        <v>415</v>
      </c>
      <c r="D113" s="14" t="s">
        <v>416</v>
      </c>
      <c r="E113" s="14" t="str">
        <f>"0,7249"</f>
        <v>0,7249</v>
      </c>
      <c r="F113" s="14" t="s">
        <v>299</v>
      </c>
      <c r="G113" s="15" t="s">
        <v>69</v>
      </c>
      <c r="H113" s="15" t="s">
        <v>145</v>
      </c>
      <c r="I113" s="15" t="s">
        <v>209</v>
      </c>
      <c r="J113" s="17"/>
      <c r="K113" s="16" t="s">
        <v>80</v>
      </c>
      <c r="L113" s="15" t="s">
        <v>80</v>
      </c>
      <c r="M113" s="15" t="s">
        <v>146</v>
      </c>
      <c r="N113" s="17"/>
      <c r="O113" s="16" t="s">
        <v>71</v>
      </c>
      <c r="P113" s="15" t="s">
        <v>71</v>
      </c>
      <c r="Q113" s="15" t="s">
        <v>60</v>
      </c>
      <c r="R113" s="17"/>
      <c r="S113" s="40" t="str">
        <f>"367,5"</f>
        <v>367,5</v>
      </c>
      <c r="T113" s="17" t="str">
        <f>"266,4008"</f>
        <v>266,4008</v>
      </c>
      <c r="U113" s="14" t="s">
        <v>300</v>
      </c>
    </row>
    <row r="114" spans="1:21">
      <c r="A114" s="17" t="s">
        <v>15</v>
      </c>
      <c r="B114" s="14" t="s">
        <v>417</v>
      </c>
      <c r="C114" s="14" t="s">
        <v>418</v>
      </c>
      <c r="D114" s="14" t="s">
        <v>419</v>
      </c>
      <c r="E114" s="14" t="str">
        <f>"0,7166"</f>
        <v>0,7166</v>
      </c>
      <c r="F114" s="14" t="s">
        <v>270</v>
      </c>
      <c r="G114" s="15" t="s">
        <v>398</v>
      </c>
      <c r="H114" s="15" t="s">
        <v>392</v>
      </c>
      <c r="I114" s="15" t="s">
        <v>374</v>
      </c>
      <c r="J114" s="17"/>
      <c r="K114" s="16" t="s">
        <v>69</v>
      </c>
      <c r="L114" s="15" t="s">
        <v>69</v>
      </c>
      <c r="M114" s="16" t="s">
        <v>70</v>
      </c>
      <c r="N114" s="17"/>
      <c r="O114" s="15" t="s">
        <v>420</v>
      </c>
      <c r="P114" s="15" t="s">
        <v>421</v>
      </c>
      <c r="Q114" s="15" t="s">
        <v>422</v>
      </c>
      <c r="R114" s="17"/>
      <c r="S114" s="40" t="str">
        <f>"550,0"</f>
        <v>550,0</v>
      </c>
      <c r="T114" s="17" t="str">
        <f>"394,1300"</f>
        <v>394,1300</v>
      </c>
      <c r="U114" s="14" t="s">
        <v>158</v>
      </c>
    </row>
    <row r="115" spans="1:21">
      <c r="A115" s="17" t="s">
        <v>62</v>
      </c>
      <c r="B115" s="14" t="s">
        <v>423</v>
      </c>
      <c r="C115" s="14" t="s">
        <v>424</v>
      </c>
      <c r="D115" s="14" t="s">
        <v>425</v>
      </c>
      <c r="E115" s="14" t="str">
        <f>"0,7461"</f>
        <v>0,7461</v>
      </c>
      <c r="F115" s="14" t="s">
        <v>426</v>
      </c>
      <c r="G115" s="15" t="s">
        <v>59</v>
      </c>
      <c r="H115" s="15" t="s">
        <v>205</v>
      </c>
      <c r="I115" s="15" t="s">
        <v>427</v>
      </c>
      <c r="J115" s="17"/>
      <c r="K115" s="15" t="s">
        <v>145</v>
      </c>
      <c r="L115" s="15" t="s">
        <v>71</v>
      </c>
      <c r="M115" s="16" t="s">
        <v>209</v>
      </c>
      <c r="N115" s="17"/>
      <c r="O115" s="16" t="s">
        <v>374</v>
      </c>
      <c r="P115" s="15" t="s">
        <v>374</v>
      </c>
      <c r="Q115" s="16" t="s">
        <v>384</v>
      </c>
      <c r="R115" s="17"/>
      <c r="S115" s="40" t="str">
        <f>"492,5"</f>
        <v>492,5</v>
      </c>
      <c r="T115" s="17" t="str">
        <f>"367,4543"</f>
        <v>367,4543</v>
      </c>
      <c r="U115" s="14" t="s">
        <v>428</v>
      </c>
    </row>
    <row r="116" spans="1:21">
      <c r="A116" s="17" t="s">
        <v>15</v>
      </c>
      <c r="B116" s="14" t="s">
        <v>429</v>
      </c>
      <c r="C116" s="14" t="s">
        <v>430</v>
      </c>
      <c r="D116" s="14" t="s">
        <v>331</v>
      </c>
      <c r="E116" s="14" t="str">
        <f>"0,7126"</f>
        <v>0,7126</v>
      </c>
      <c r="F116" s="14" t="s">
        <v>91</v>
      </c>
      <c r="G116" s="15" t="s">
        <v>392</v>
      </c>
      <c r="H116" s="16" t="s">
        <v>399</v>
      </c>
      <c r="I116" s="15" t="s">
        <v>399</v>
      </c>
      <c r="J116" s="17"/>
      <c r="K116" s="15" t="s">
        <v>71</v>
      </c>
      <c r="L116" s="15" t="s">
        <v>209</v>
      </c>
      <c r="M116" s="17"/>
      <c r="N116" s="17"/>
      <c r="O116" s="16" t="s">
        <v>422</v>
      </c>
      <c r="P116" s="15" t="s">
        <v>422</v>
      </c>
      <c r="Q116" s="16" t="s">
        <v>431</v>
      </c>
      <c r="R116" s="17"/>
      <c r="S116" s="40" t="str">
        <f>"580,0"</f>
        <v>580,0</v>
      </c>
      <c r="T116" s="17" t="str">
        <f>"413,3080"</f>
        <v>413,3080</v>
      </c>
      <c r="U116" s="14" t="s">
        <v>158</v>
      </c>
    </row>
    <row r="117" spans="1:21">
      <c r="A117" s="17" t="s">
        <v>62</v>
      </c>
      <c r="B117" s="14" t="s">
        <v>432</v>
      </c>
      <c r="C117" s="14" t="s">
        <v>433</v>
      </c>
      <c r="D117" s="14" t="s">
        <v>434</v>
      </c>
      <c r="E117" s="14" t="str">
        <f>"0,7152"</f>
        <v>0,7152</v>
      </c>
      <c r="F117" s="14" t="s">
        <v>435</v>
      </c>
      <c r="G117" s="15" t="s">
        <v>384</v>
      </c>
      <c r="H117" s="16" t="s">
        <v>436</v>
      </c>
      <c r="I117" s="15" t="s">
        <v>436</v>
      </c>
      <c r="J117" s="17"/>
      <c r="K117" s="15" t="s">
        <v>85</v>
      </c>
      <c r="L117" s="15" t="s">
        <v>157</v>
      </c>
      <c r="M117" s="16" t="s">
        <v>209</v>
      </c>
      <c r="N117" s="17"/>
      <c r="O117" s="16" t="s">
        <v>421</v>
      </c>
      <c r="P117" s="15" t="s">
        <v>421</v>
      </c>
      <c r="Q117" s="16" t="s">
        <v>437</v>
      </c>
      <c r="R117" s="17"/>
      <c r="S117" s="40" t="str">
        <f>"577,5"</f>
        <v>577,5</v>
      </c>
      <c r="T117" s="17" t="str">
        <f>"413,0280"</f>
        <v>413,0280</v>
      </c>
      <c r="U117" s="14" t="s">
        <v>158</v>
      </c>
    </row>
    <row r="118" spans="1:21">
      <c r="A118" s="17" t="s">
        <v>73</v>
      </c>
      <c r="B118" s="14" t="s">
        <v>438</v>
      </c>
      <c r="C118" s="14" t="s">
        <v>439</v>
      </c>
      <c r="D118" s="14" t="s">
        <v>440</v>
      </c>
      <c r="E118" s="14" t="str">
        <f>"0,7173"</f>
        <v>0,7173</v>
      </c>
      <c r="F118" s="14" t="s">
        <v>91</v>
      </c>
      <c r="G118" s="15" t="s">
        <v>374</v>
      </c>
      <c r="H118" s="15" t="s">
        <v>384</v>
      </c>
      <c r="I118" s="16" t="s">
        <v>436</v>
      </c>
      <c r="J118" s="17"/>
      <c r="K118" s="15" t="s">
        <v>70</v>
      </c>
      <c r="L118" s="15" t="s">
        <v>85</v>
      </c>
      <c r="M118" s="15" t="s">
        <v>71</v>
      </c>
      <c r="N118" s="17"/>
      <c r="O118" s="15" t="s">
        <v>374</v>
      </c>
      <c r="P118" s="15" t="s">
        <v>441</v>
      </c>
      <c r="Q118" s="16" t="s">
        <v>442</v>
      </c>
      <c r="R118" s="17"/>
      <c r="S118" s="40" t="str">
        <f>"557,5"</f>
        <v>557,5</v>
      </c>
      <c r="T118" s="17" t="str">
        <f>"399,8947"</f>
        <v>399,8947</v>
      </c>
      <c r="U118" s="14" t="s">
        <v>158</v>
      </c>
    </row>
    <row r="119" spans="1:21">
      <c r="A119" s="17" t="s">
        <v>75</v>
      </c>
      <c r="B119" s="14" t="s">
        <v>417</v>
      </c>
      <c r="C119" s="14" t="s">
        <v>443</v>
      </c>
      <c r="D119" s="14" t="s">
        <v>419</v>
      </c>
      <c r="E119" s="14" t="str">
        <f>"0,7166"</f>
        <v>0,7166</v>
      </c>
      <c r="F119" s="14" t="s">
        <v>270</v>
      </c>
      <c r="G119" s="15" t="s">
        <v>398</v>
      </c>
      <c r="H119" s="15" t="s">
        <v>392</v>
      </c>
      <c r="I119" s="15" t="s">
        <v>374</v>
      </c>
      <c r="J119" s="17"/>
      <c r="K119" s="16" t="s">
        <v>69</v>
      </c>
      <c r="L119" s="15" t="s">
        <v>69</v>
      </c>
      <c r="M119" s="16" t="s">
        <v>70</v>
      </c>
      <c r="N119" s="17"/>
      <c r="O119" s="15" t="s">
        <v>420</v>
      </c>
      <c r="P119" s="15" t="s">
        <v>421</v>
      </c>
      <c r="Q119" s="15" t="s">
        <v>422</v>
      </c>
      <c r="R119" s="17"/>
      <c r="S119" s="40" t="str">
        <f>"550,0"</f>
        <v>550,0</v>
      </c>
      <c r="T119" s="17" t="str">
        <f>"394,1300"</f>
        <v>394,1300</v>
      </c>
      <c r="U119" s="14" t="s">
        <v>158</v>
      </c>
    </row>
    <row r="120" spans="1:21">
      <c r="A120" s="17" t="s">
        <v>87</v>
      </c>
      <c r="B120" s="14" t="s">
        <v>444</v>
      </c>
      <c r="C120" s="14" t="s">
        <v>445</v>
      </c>
      <c r="D120" s="14" t="s">
        <v>446</v>
      </c>
      <c r="E120" s="14" t="str">
        <f>"0,7264"</f>
        <v>0,7264</v>
      </c>
      <c r="F120" s="14" t="s">
        <v>134</v>
      </c>
      <c r="G120" s="15" t="s">
        <v>398</v>
      </c>
      <c r="H120" s="15" t="s">
        <v>392</v>
      </c>
      <c r="I120" s="16" t="s">
        <v>374</v>
      </c>
      <c r="J120" s="17"/>
      <c r="K120" s="15" t="s">
        <v>145</v>
      </c>
      <c r="L120" s="15" t="s">
        <v>157</v>
      </c>
      <c r="M120" s="15" t="s">
        <v>147</v>
      </c>
      <c r="N120" s="17"/>
      <c r="O120" s="15" t="s">
        <v>392</v>
      </c>
      <c r="P120" s="16" t="s">
        <v>374</v>
      </c>
      <c r="Q120" s="16" t="s">
        <v>374</v>
      </c>
      <c r="R120" s="17"/>
      <c r="S120" s="40" t="str">
        <f>"517,5"</f>
        <v>517,5</v>
      </c>
      <c r="T120" s="17" t="str">
        <f>"375,9120"</f>
        <v>375,9120</v>
      </c>
      <c r="U120" s="14" t="s">
        <v>447</v>
      </c>
    </row>
    <row r="121" spans="1:21">
      <c r="A121" s="17" t="s">
        <v>168</v>
      </c>
      <c r="B121" s="14" t="s">
        <v>412</v>
      </c>
      <c r="C121" s="14" t="s">
        <v>448</v>
      </c>
      <c r="D121" s="14" t="s">
        <v>331</v>
      </c>
      <c r="E121" s="14" t="str">
        <f>"0,7126"</f>
        <v>0,7126</v>
      </c>
      <c r="F121" s="14" t="s">
        <v>309</v>
      </c>
      <c r="G121" s="16" t="s">
        <v>58</v>
      </c>
      <c r="H121" s="16" t="s">
        <v>59</v>
      </c>
      <c r="I121" s="15" t="s">
        <v>59</v>
      </c>
      <c r="J121" s="17"/>
      <c r="K121" s="15" t="s">
        <v>32</v>
      </c>
      <c r="L121" s="15" t="s">
        <v>33</v>
      </c>
      <c r="M121" s="15" t="s">
        <v>80</v>
      </c>
      <c r="N121" s="17"/>
      <c r="O121" s="15" t="s">
        <v>60</v>
      </c>
      <c r="P121" s="15" t="s">
        <v>151</v>
      </c>
      <c r="Q121" s="16" t="s">
        <v>248</v>
      </c>
      <c r="R121" s="17"/>
      <c r="S121" s="40" t="str">
        <f>"380,0"</f>
        <v>380,0</v>
      </c>
      <c r="T121" s="17" t="str">
        <f>"270,7880"</f>
        <v>270,7880</v>
      </c>
      <c r="U121" s="14" t="s">
        <v>310</v>
      </c>
    </row>
    <row r="122" spans="1:21">
      <c r="A122" s="17" t="s">
        <v>15</v>
      </c>
      <c r="B122" s="14" t="s">
        <v>449</v>
      </c>
      <c r="C122" s="14" t="s">
        <v>450</v>
      </c>
      <c r="D122" s="14" t="s">
        <v>451</v>
      </c>
      <c r="E122" s="14" t="str">
        <f>"0,7242"</f>
        <v>0,7242</v>
      </c>
      <c r="F122" s="14" t="s">
        <v>91</v>
      </c>
      <c r="G122" s="15" t="s">
        <v>452</v>
      </c>
      <c r="H122" s="16" t="s">
        <v>453</v>
      </c>
      <c r="I122" s="15" t="s">
        <v>454</v>
      </c>
      <c r="J122" s="17"/>
      <c r="K122" s="15" t="s">
        <v>147</v>
      </c>
      <c r="L122" s="15" t="s">
        <v>346</v>
      </c>
      <c r="M122" s="16" t="s">
        <v>59</v>
      </c>
      <c r="N122" s="17"/>
      <c r="O122" s="15" t="s">
        <v>374</v>
      </c>
      <c r="P122" s="15" t="s">
        <v>455</v>
      </c>
      <c r="Q122" s="16" t="s">
        <v>436</v>
      </c>
      <c r="R122" s="17"/>
      <c r="S122" s="40" t="str">
        <f>"542,5"</f>
        <v>542,5</v>
      </c>
      <c r="T122" s="17" t="str">
        <f>"392,8785"</f>
        <v>392,8785</v>
      </c>
      <c r="U122" s="14" t="s">
        <v>158</v>
      </c>
    </row>
    <row r="123" spans="1:21">
      <c r="A123" s="17" t="s">
        <v>15</v>
      </c>
      <c r="B123" s="14" t="s">
        <v>456</v>
      </c>
      <c r="C123" s="14" t="s">
        <v>457</v>
      </c>
      <c r="D123" s="14" t="s">
        <v>313</v>
      </c>
      <c r="E123" s="14" t="str">
        <f>"0,7139"</f>
        <v>0,7139</v>
      </c>
      <c r="F123" s="14" t="s">
        <v>91</v>
      </c>
      <c r="G123" s="15" t="s">
        <v>452</v>
      </c>
      <c r="H123" s="15" t="s">
        <v>458</v>
      </c>
      <c r="I123" s="15" t="s">
        <v>368</v>
      </c>
      <c r="J123" s="17"/>
      <c r="K123" s="16" t="s">
        <v>162</v>
      </c>
      <c r="L123" s="16" t="s">
        <v>162</v>
      </c>
      <c r="M123" s="15" t="s">
        <v>162</v>
      </c>
      <c r="N123" s="17"/>
      <c r="O123" s="15" t="s">
        <v>436</v>
      </c>
      <c r="P123" s="15" t="s">
        <v>442</v>
      </c>
      <c r="Q123" s="16" t="s">
        <v>459</v>
      </c>
      <c r="R123" s="17"/>
      <c r="S123" s="40" t="str">
        <f>"532,5"</f>
        <v>532,5</v>
      </c>
      <c r="T123" s="17" t="str">
        <f>"458,8432"</f>
        <v>458,8432</v>
      </c>
      <c r="U123" s="14" t="s">
        <v>158</v>
      </c>
    </row>
    <row r="124" spans="1:21">
      <c r="A124" s="20" t="s">
        <v>15</v>
      </c>
      <c r="B124" s="18" t="s">
        <v>460</v>
      </c>
      <c r="C124" s="18" t="s">
        <v>461</v>
      </c>
      <c r="D124" s="18" t="s">
        <v>323</v>
      </c>
      <c r="E124" s="18" t="str">
        <f>"0,7159"</f>
        <v>0,7159</v>
      </c>
      <c r="F124" s="18" t="s">
        <v>91</v>
      </c>
      <c r="G124" s="22" t="s">
        <v>145</v>
      </c>
      <c r="H124" s="19" t="s">
        <v>145</v>
      </c>
      <c r="I124" s="19" t="s">
        <v>71</v>
      </c>
      <c r="J124" s="20"/>
      <c r="K124" s="22" t="s">
        <v>36</v>
      </c>
      <c r="L124" s="19" t="s">
        <v>36</v>
      </c>
      <c r="M124" s="22" t="s">
        <v>37</v>
      </c>
      <c r="N124" s="20"/>
      <c r="O124" s="19" t="s">
        <v>71</v>
      </c>
      <c r="P124" s="19" t="s">
        <v>147</v>
      </c>
      <c r="Q124" s="19" t="s">
        <v>346</v>
      </c>
      <c r="R124" s="20"/>
      <c r="S124" s="38" t="str">
        <f>"362,5"</f>
        <v>362,5</v>
      </c>
      <c r="T124" s="20" t="str">
        <f>"414,4435"</f>
        <v>414,4435</v>
      </c>
      <c r="U124" s="18" t="s">
        <v>158</v>
      </c>
    </row>
    <row r="125" spans="1:21">
      <c r="B125" s="5" t="s">
        <v>40</v>
      </c>
    </row>
    <row r="126" spans="1:21" ht="15.95">
      <c r="A126" s="102" t="s">
        <v>334</v>
      </c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</row>
    <row r="127" spans="1:21">
      <c r="A127" s="13" t="s">
        <v>15</v>
      </c>
      <c r="B127" s="11" t="s">
        <v>462</v>
      </c>
      <c r="C127" s="11" t="s">
        <v>463</v>
      </c>
      <c r="D127" s="11" t="s">
        <v>464</v>
      </c>
      <c r="E127" s="11" t="str">
        <f>"0,7099"</f>
        <v>0,7099</v>
      </c>
      <c r="F127" s="11" t="s">
        <v>465</v>
      </c>
      <c r="G127" s="12" t="s">
        <v>209</v>
      </c>
      <c r="H127" s="12" t="s">
        <v>346</v>
      </c>
      <c r="I127" s="12" t="s">
        <v>60</v>
      </c>
      <c r="J127" s="13"/>
      <c r="K127" s="21" t="s">
        <v>37</v>
      </c>
      <c r="L127" s="12" t="s">
        <v>37</v>
      </c>
      <c r="M127" s="12" t="s">
        <v>38</v>
      </c>
      <c r="N127" s="13"/>
      <c r="O127" s="12" t="s">
        <v>60</v>
      </c>
      <c r="P127" s="21" t="s">
        <v>254</v>
      </c>
      <c r="Q127" s="21" t="s">
        <v>254</v>
      </c>
      <c r="R127" s="13"/>
      <c r="S127" s="37" t="str">
        <f>"400,0"</f>
        <v>400,0</v>
      </c>
      <c r="T127" s="13" t="str">
        <f>"283,9600"</f>
        <v>283,9600</v>
      </c>
      <c r="U127" s="11" t="s">
        <v>223</v>
      </c>
    </row>
    <row r="128" spans="1:21">
      <c r="A128" s="17" t="s">
        <v>62</v>
      </c>
      <c r="B128" s="14" t="s">
        <v>466</v>
      </c>
      <c r="C128" s="14" t="s">
        <v>467</v>
      </c>
      <c r="D128" s="14" t="s">
        <v>468</v>
      </c>
      <c r="E128" s="14" t="str">
        <f>"0,6744"</f>
        <v>0,6744</v>
      </c>
      <c r="F128" s="14" t="s">
        <v>469</v>
      </c>
      <c r="G128" s="16" t="s">
        <v>209</v>
      </c>
      <c r="H128" s="15" t="s">
        <v>58</v>
      </c>
      <c r="I128" s="15" t="s">
        <v>60</v>
      </c>
      <c r="J128" s="17"/>
      <c r="K128" s="15" t="s">
        <v>67</v>
      </c>
      <c r="L128" s="16" t="s">
        <v>46</v>
      </c>
      <c r="M128" s="17"/>
      <c r="N128" s="17"/>
      <c r="O128" s="15" t="s">
        <v>59</v>
      </c>
      <c r="P128" s="15" t="s">
        <v>151</v>
      </c>
      <c r="Q128" s="16" t="s">
        <v>248</v>
      </c>
      <c r="R128" s="17"/>
      <c r="S128" s="40" t="str">
        <f>"395,0"</f>
        <v>395,0</v>
      </c>
      <c r="T128" s="17" t="str">
        <f>"266,3880"</f>
        <v>266,3880</v>
      </c>
      <c r="U128" s="14" t="s">
        <v>223</v>
      </c>
    </row>
    <row r="129" spans="1:21">
      <c r="A129" s="17" t="s">
        <v>73</v>
      </c>
      <c r="B129" s="14" t="s">
        <v>470</v>
      </c>
      <c r="C129" s="14" t="s">
        <v>471</v>
      </c>
      <c r="D129" s="14" t="s">
        <v>472</v>
      </c>
      <c r="E129" s="14" t="str">
        <f>"0,7055"</f>
        <v>0,7055</v>
      </c>
      <c r="F129" s="14" t="s">
        <v>473</v>
      </c>
      <c r="G129" s="15" t="s">
        <v>71</v>
      </c>
      <c r="H129" s="15" t="s">
        <v>147</v>
      </c>
      <c r="I129" s="15" t="s">
        <v>58</v>
      </c>
      <c r="J129" s="17"/>
      <c r="K129" s="15" t="s">
        <v>67</v>
      </c>
      <c r="L129" s="16" t="s">
        <v>36</v>
      </c>
      <c r="M129" s="16" t="s">
        <v>36</v>
      </c>
      <c r="N129" s="17"/>
      <c r="O129" s="15" t="s">
        <v>151</v>
      </c>
      <c r="P129" s="16" t="s">
        <v>152</v>
      </c>
      <c r="Q129" s="17"/>
      <c r="R129" s="17"/>
      <c r="S129" s="40" t="str">
        <f>"385,0"</f>
        <v>385,0</v>
      </c>
      <c r="T129" s="17" t="str">
        <f>"271,6175"</f>
        <v>271,6175</v>
      </c>
      <c r="U129" s="14" t="s">
        <v>474</v>
      </c>
    </row>
    <row r="130" spans="1:21">
      <c r="A130" s="17" t="s">
        <v>75</v>
      </c>
      <c r="B130" s="14" t="s">
        <v>475</v>
      </c>
      <c r="C130" s="14" t="s">
        <v>476</v>
      </c>
      <c r="D130" s="14" t="s">
        <v>477</v>
      </c>
      <c r="E130" s="14" t="str">
        <f>"0,6785"</f>
        <v>0,6785</v>
      </c>
      <c r="F130" s="14" t="s">
        <v>91</v>
      </c>
      <c r="G130" s="16" t="s">
        <v>38</v>
      </c>
      <c r="H130" s="15" t="s">
        <v>38</v>
      </c>
      <c r="I130" s="15" t="s">
        <v>69</v>
      </c>
      <c r="J130" s="17"/>
      <c r="K130" s="15" t="s">
        <v>25</v>
      </c>
      <c r="L130" s="16" t="s">
        <v>48</v>
      </c>
      <c r="M130" s="16" t="s">
        <v>48</v>
      </c>
      <c r="N130" s="17"/>
      <c r="O130" s="15" t="s">
        <v>69</v>
      </c>
      <c r="P130" s="15" t="s">
        <v>70</v>
      </c>
      <c r="Q130" s="15" t="s">
        <v>85</v>
      </c>
      <c r="R130" s="17"/>
      <c r="S130" s="40" t="str">
        <f>"292,5"</f>
        <v>292,5</v>
      </c>
      <c r="T130" s="17" t="str">
        <f>"198,4612"</f>
        <v>198,4612</v>
      </c>
      <c r="U130" s="14" t="s">
        <v>478</v>
      </c>
    </row>
    <row r="131" spans="1:21">
      <c r="A131" s="17" t="s">
        <v>15</v>
      </c>
      <c r="B131" s="14" t="s">
        <v>479</v>
      </c>
      <c r="C131" s="14" t="s">
        <v>480</v>
      </c>
      <c r="D131" s="14" t="s">
        <v>481</v>
      </c>
      <c r="E131" s="14" t="str">
        <f>"0,6827"</f>
        <v>0,6827</v>
      </c>
      <c r="F131" s="14" t="s">
        <v>91</v>
      </c>
      <c r="G131" s="15" t="s">
        <v>60</v>
      </c>
      <c r="H131" s="15" t="s">
        <v>151</v>
      </c>
      <c r="I131" s="16" t="s">
        <v>248</v>
      </c>
      <c r="J131" s="17"/>
      <c r="K131" s="15" t="s">
        <v>47</v>
      </c>
      <c r="L131" s="15" t="s">
        <v>56</v>
      </c>
      <c r="M131" s="15" t="s">
        <v>70</v>
      </c>
      <c r="N131" s="17"/>
      <c r="O131" s="15" t="s">
        <v>248</v>
      </c>
      <c r="P131" s="15" t="s">
        <v>458</v>
      </c>
      <c r="Q131" s="16" t="s">
        <v>454</v>
      </c>
      <c r="R131" s="17"/>
      <c r="S131" s="40" t="str">
        <f>"462,5"</f>
        <v>462,5</v>
      </c>
      <c r="T131" s="17" t="str">
        <f>"315,7487"</f>
        <v>315,7487</v>
      </c>
      <c r="U131" s="14" t="s">
        <v>482</v>
      </c>
    </row>
    <row r="132" spans="1:21">
      <c r="A132" s="17" t="s">
        <v>92</v>
      </c>
      <c r="B132" s="14" t="s">
        <v>483</v>
      </c>
      <c r="C132" s="14" t="s">
        <v>484</v>
      </c>
      <c r="D132" s="14" t="s">
        <v>485</v>
      </c>
      <c r="E132" s="14" t="str">
        <f>"0,6795"</f>
        <v>0,6795</v>
      </c>
      <c r="F132" s="14" t="s">
        <v>109</v>
      </c>
      <c r="G132" s="16" t="s">
        <v>248</v>
      </c>
      <c r="H132" s="16" t="s">
        <v>248</v>
      </c>
      <c r="I132" s="16" t="s">
        <v>248</v>
      </c>
      <c r="J132" s="17"/>
      <c r="K132" s="17"/>
      <c r="L132" s="17"/>
      <c r="M132" s="16"/>
      <c r="N132" s="17"/>
      <c r="O132" s="17"/>
      <c r="P132" s="17"/>
      <c r="Q132" s="16"/>
      <c r="R132" s="17"/>
      <c r="S132" s="40">
        <v>0</v>
      </c>
      <c r="T132" s="17" t="str">
        <f>"0,0000"</f>
        <v>0,0000</v>
      </c>
      <c r="U132" s="14" t="s">
        <v>111</v>
      </c>
    </row>
    <row r="133" spans="1:21">
      <c r="A133" s="17" t="s">
        <v>15</v>
      </c>
      <c r="B133" s="14" t="s">
        <v>486</v>
      </c>
      <c r="C133" s="14" t="s">
        <v>487</v>
      </c>
      <c r="D133" s="14" t="s">
        <v>488</v>
      </c>
      <c r="E133" s="14" t="str">
        <f>"0,6832"</f>
        <v>0,6832</v>
      </c>
      <c r="F133" s="14" t="s">
        <v>489</v>
      </c>
      <c r="G133" s="15" t="s">
        <v>420</v>
      </c>
      <c r="H133" s="15" t="s">
        <v>459</v>
      </c>
      <c r="I133" s="15" t="s">
        <v>437</v>
      </c>
      <c r="J133" s="17"/>
      <c r="K133" s="15" t="s">
        <v>151</v>
      </c>
      <c r="L133" s="16" t="s">
        <v>248</v>
      </c>
      <c r="M133" s="15" t="s">
        <v>248</v>
      </c>
      <c r="N133" s="15" t="s">
        <v>351</v>
      </c>
      <c r="O133" s="15" t="s">
        <v>490</v>
      </c>
      <c r="P133" s="16" t="s">
        <v>491</v>
      </c>
      <c r="Q133" s="16" t="s">
        <v>491</v>
      </c>
      <c r="R133" s="17"/>
      <c r="S133" s="40" t="str">
        <f>"662,5"</f>
        <v>662,5</v>
      </c>
      <c r="T133" s="17" t="str">
        <f>"452,6200"</f>
        <v>452,6200</v>
      </c>
      <c r="U133" s="14" t="s">
        <v>492</v>
      </c>
    </row>
    <row r="134" spans="1:21">
      <c r="A134" s="17" t="s">
        <v>62</v>
      </c>
      <c r="B134" s="14" t="s">
        <v>493</v>
      </c>
      <c r="C134" s="14" t="s">
        <v>494</v>
      </c>
      <c r="D134" s="14" t="s">
        <v>485</v>
      </c>
      <c r="E134" s="14" t="str">
        <f>"0,6795"</f>
        <v>0,6795</v>
      </c>
      <c r="F134" s="14" t="s">
        <v>91</v>
      </c>
      <c r="G134" s="15" t="s">
        <v>384</v>
      </c>
      <c r="H134" s="15" t="s">
        <v>420</v>
      </c>
      <c r="I134" s="15" t="s">
        <v>421</v>
      </c>
      <c r="J134" s="17"/>
      <c r="K134" s="15" t="s">
        <v>145</v>
      </c>
      <c r="L134" s="15" t="s">
        <v>209</v>
      </c>
      <c r="M134" s="16" t="s">
        <v>346</v>
      </c>
      <c r="N134" s="17"/>
      <c r="O134" s="16" t="s">
        <v>495</v>
      </c>
      <c r="P134" s="15" t="s">
        <v>495</v>
      </c>
      <c r="Q134" s="16" t="s">
        <v>421</v>
      </c>
      <c r="R134" s="17"/>
      <c r="S134" s="40" t="str">
        <f>"577,5"</f>
        <v>577,5</v>
      </c>
      <c r="T134" s="17" t="str">
        <f>"392,4112"</f>
        <v>392,4112</v>
      </c>
      <c r="U134" s="14" t="s">
        <v>158</v>
      </c>
    </row>
    <row r="135" spans="1:21">
      <c r="A135" s="17" t="s">
        <v>73</v>
      </c>
      <c r="B135" s="14" t="s">
        <v>496</v>
      </c>
      <c r="C135" s="14" t="s">
        <v>497</v>
      </c>
      <c r="D135" s="14" t="s">
        <v>498</v>
      </c>
      <c r="E135" s="14" t="str">
        <f>"0,6800"</f>
        <v>0,6800</v>
      </c>
      <c r="F135" s="14" t="s">
        <v>222</v>
      </c>
      <c r="G135" s="16" t="s">
        <v>368</v>
      </c>
      <c r="H135" s="15" t="s">
        <v>368</v>
      </c>
      <c r="I135" s="16" t="s">
        <v>392</v>
      </c>
      <c r="J135" s="17"/>
      <c r="K135" s="15" t="s">
        <v>58</v>
      </c>
      <c r="L135" s="15" t="s">
        <v>60</v>
      </c>
      <c r="M135" s="16" t="s">
        <v>205</v>
      </c>
      <c r="N135" s="17"/>
      <c r="O135" s="16" t="s">
        <v>420</v>
      </c>
      <c r="P135" s="15" t="s">
        <v>420</v>
      </c>
      <c r="Q135" s="16" t="s">
        <v>459</v>
      </c>
      <c r="R135" s="17"/>
      <c r="S135" s="40" t="str">
        <f>"555,0"</f>
        <v>555,0</v>
      </c>
      <c r="T135" s="17" t="str">
        <f>"377,4000"</f>
        <v>377,4000</v>
      </c>
      <c r="U135" s="14" t="s">
        <v>499</v>
      </c>
    </row>
    <row r="136" spans="1:21">
      <c r="A136" s="17" t="s">
        <v>75</v>
      </c>
      <c r="B136" s="14" t="s">
        <v>500</v>
      </c>
      <c r="C136" s="14" t="s">
        <v>501</v>
      </c>
      <c r="D136" s="14" t="s">
        <v>502</v>
      </c>
      <c r="E136" s="14" t="str">
        <f>"0,6764"</f>
        <v>0,6764</v>
      </c>
      <c r="F136" s="14" t="s">
        <v>426</v>
      </c>
      <c r="G136" s="15" t="s">
        <v>398</v>
      </c>
      <c r="H136" s="15" t="s">
        <v>392</v>
      </c>
      <c r="I136" s="15" t="s">
        <v>374</v>
      </c>
      <c r="J136" s="17"/>
      <c r="K136" s="15" t="s">
        <v>69</v>
      </c>
      <c r="L136" s="15" t="s">
        <v>56</v>
      </c>
      <c r="M136" s="16" t="s">
        <v>70</v>
      </c>
      <c r="N136" s="17"/>
      <c r="O136" s="15" t="s">
        <v>421</v>
      </c>
      <c r="P136" s="15" t="s">
        <v>422</v>
      </c>
      <c r="Q136" s="16" t="s">
        <v>490</v>
      </c>
      <c r="R136" s="17"/>
      <c r="S136" s="40" t="str">
        <f>"555,0"</f>
        <v>555,0</v>
      </c>
      <c r="T136" s="17" t="str">
        <f>"375,4020"</f>
        <v>375,4020</v>
      </c>
      <c r="U136" s="14" t="s">
        <v>158</v>
      </c>
    </row>
    <row r="137" spans="1:21">
      <c r="A137" s="17" t="s">
        <v>87</v>
      </c>
      <c r="B137" s="14" t="s">
        <v>503</v>
      </c>
      <c r="C137" s="14" t="s">
        <v>504</v>
      </c>
      <c r="D137" s="14" t="s">
        <v>468</v>
      </c>
      <c r="E137" s="14" t="str">
        <f>"0,6744"</f>
        <v>0,6744</v>
      </c>
      <c r="F137" s="14" t="s">
        <v>505</v>
      </c>
      <c r="G137" s="15" t="s">
        <v>398</v>
      </c>
      <c r="H137" s="15" t="s">
        <v>392</v>
      </c>
      <c r="I137" s="16" t="s">
        <v>506</v>
      </c>
      <c r="J137" s="17"/>
      <c r="K137" s="15" t="s">
        <v>55</v>
      </c>
      <c r="L137" s="15" t="s">
        <v>70</v>
      </c>
      <c r="M137" s="15" t="s">
        <v>145</v>
      </c>
      <c r="N137" s="17"/>
      <c r="O137" s="15" t="s">
        <v>420</v>
      </c>
      <c r="P137" s="15" t="s">
        <v>507</v>
      </c>
      <c r="Q137" s="16" t="s">
        <v>508</v>
      </c>
      <c r="R137" s="17"/>
      <c r="S137" s="40" t="str">
        <f>"542,5"</f>
        <v>542,5</v>
      </c>
      <c r="T137" s="17" t="str">
        <f>"365,8620"</f>
        <v>365,8620</v>
      </c>
      <c r="U137" s="14" t="s">
        <v>509</v>
      </c>
    </row>
    <row r="138" spans="1:21">
      <c r="A138" s="17" t="s">
        <v>168</v>
      </c>
      <c r="B138" s="14" t="s">
        <v>510</v>
      </c>
      <c r="C138" s="14" t="s">
        <v>511</v>
      </c>
      <c r="D138" s="14" t="s">
        <v>512</v>
      </c>
      <c r="E138" s="14" t="str">
        <f>"0,6790"</f>
        <v>0,6790</v>
      </c>
      <c r="F138" s="14" t="s">
        <v>513</v>
      </c>
      <c r="G138" s="15" t="s">
        <v>392</v>
      </c>
      <c r="H138" s="15" t="s">
        <v>383</v>
      </c>
      <c r="I138" s="15" t="s">
        <v>506</v>
      </c>
      <c r="J138" s="17"/>
      <c r="K138" s="15" t="s">
        <v>70</v>
      </c>
      <c r="L138" s="16" t="s">
        <v>85</v>
      </c>
      <c r="M138" s="15" t="s">
        <v>85</v>
      </c>
      <c r="N138" s="17"/>
      <c r="O138" s="15" t="s">
        <v>384</v>
      </c>
      <c r="P138" s="16" t="s">
        <v>420</v>
      </c>
      <c r="Q138" s="17"/>
      <c r="R138" s="17"/>
      <c r="S138" s="40" t="str">
        <f>"535,0"</f>
        <v>535,0</v>
      </c>
      <c r="T138" s="17" t="str">
        <f>"363,2650"</f>
        <v>363,2650</v>
      </c>
      <c r="U138" s="14" t="s">
        <v>158</v>
      </c>
    </row>
    <row r="139" spans="1:21">
      <c r="A139" s="17" t="s">
        <v>172</v>
      </c>
      <c r="B139" s="14" t="s">
        <v>514</v>
      </c>
      <c r="C139" s="14" t="s">
        <v>515</v>
      </c>
      <c r="D139" s="14" t="s">
        <v>516</v>
      </c>
      <c r="E139" s="14" t="str">
        <f>"0,6714"</f>
        <v>0,6714</v>
      </c>
      <c r="F139" s="14" t="s">
        <v>403</v>
      </c>
      <c r="G139" s="15" t="s">
        <v>60</v>
      </c>
      <c r="H139" s="16" t="s">
        <v>151</v>
      </c>
      <c r="I139" s="16" t="s">
        <v>151</v>
      </c>
      <c r="J139" s="17"/>
      <c r="K139" s="16" t="s">
        <v>69</v>
      </c>
      <c r="L139" s="16" t="s">
        <v>56</v>
      </c>
      <c r="M139" s="15" t="s">
        <v>56</v>
      </c>
      <c r="N139" s="17"/>
      <c r="O139" s="16" t="s">
        <v>398</v>
      </c>
      <c r="P139" s="15" t="s">
        <v>398</v>
      </c>
      <c r="Q139" s="15" t="s">
        <v>374</v>
      </c>
      <c r="R139" s="17"/>
      <c r="S139" s="40" t="str">
        <f>"465,0"</f>
        <v>465,0</v>
      </c>
      <c r="T139" s="17" t="str">
        <f>"312,2010"</f>
        <v>312,2010</v>
      </c>
      <c r="U139" s="14" t="s">
        <v>517</v>
      </c>
    </row>
    <row r="140" spans="1:21">
      <c r="A140" s="17" t="s">
        <v>15</v>
      </c>
      <c r="B140" s="14" t="s">
        <v>486</v>
      </c>
      <c r="C140" s="14" t="s">
        <v>518</v>
      </c>
      <c r="D140" s="14" t="s">
        <v>488</v>
      </c>
      <c r="E140" s="14" t="str">
        <f>"0,6832"</f>
        <v>0,6832</v>
      </c>
      <c r="F140" s="14" t="s">
        <v>489</v>
      </c>
      <c r="G140" s="15" t="s">
        <v>420</v>
      </c>
      <c r="H140" s="15" t="s">
        <v>459</v>
      </c>
      <c r="I140" s="15" t="s">
        <v>437</v>
      </c>
      <c r="J140" s="17"/>
      <c r="K140" s="15" t="s">
        <v>151</v>
      </c>
      <c r="L140" s="16" t="s">
        <v>248</v>
      </c>
      <c r="M140" s="15" t="s">
        <v>248</v>
      </c>
      <c r="N140" s="15" t="s">
        <v>351</v>
      </c>
      <c r="O140" s="15" t="s">
        <v>490</v>
      </c>
      <c r="P140" s="16" t="s">
        <v>491</v>
      </c>
      <c r="Q140" s="16" t="s">
        <v>491</v>
      </c>
      <c r="R140" s="17"/>
      <c r="S140" s="40" t="str">
        <f>"662,5"</f>
        <v>662,5</v>
      </c>
      <c r="T140" s="17" t="str">
        <f>"452,6200"</f>
        <v>452,6200</v>
      </c>
      <c r="U140" s="14" t="s">
        <v>492</v>
      </c>
    </row>
    <row r="141" spans="1:21">
      <c r="A141" s="17" t="s">
        <v>62</v>
      </c>
      <c r="B141" s="14" t="s">
        <v>519</v>
      </c>
      <c r="C141" s="14" t="s">
        <v>520</v>
      </c>
      <c r="D141" s="14" t="s">
        <v>521</v>
      </c>
      <c r="E141" s="14" t="str">
        <f>"0,6754"</f>
        <v>0,6754</v>
      </c>
      <c r="F141" s="14" t="s">
        <v>522</v>
      </c>
      <c r="G141" s="15" t="s">
        <v>384</v>
      </c>
      <c r="H141" s="15" t="s">
        <v>420</v>
      </c>
      <c r="I141" s="15" t="s">
        <v>442</v>
      </c>
      <c r="J141" s="17"/>
      <c r="K141" s="15" t="s">
        <v>58</v>
      </c>
      <c r="L141" s="15" t="s">
        <v>59</v>
      </c>
      <c r="M141" s="16" t="s">
        <v>204</v>
      </c>
      <c r="N141" s="17"/>
      <c r="O141" s="15" t="s">
        <v>422</v>
      </c>
      <c r="P141" s="15" t="s">
        <v>490</v>
      </c>
      <c r="Q141" s="16" t="s">
        <v>523</v>
      </c>
      <c r="R141" s="17"/>
      <c r="S141" s="40" t="str">
        <f>"620,0"</f>
        <v>620,0</v>
      </c>
      <c r="T141" s="17" t="str">
        <f>"418,7480"</f>
        <v>418,7480</v>
      </c>
      <c r="U141" s="14" t="s">
        <v>524</v>
      </c>
    </row>
    <row r="142" spans="1:21">
      <c r="A142" s="17" t="s">
        <v>73</v>
      </c>
      <c r="B142" s="14" t="s">
        <v>525</v>
      </c>
      <c r="C142" s="14" t="s">
        <v>526</v>
      </c>
      <c r="D142" s="14" t="s">
        <v>527</v>
      </c>
      <c r="E142" s="14" t="str">
        <f>"0,6811"</f>
        <v>0,6811</v>
      </c>
      <c r="F142" s="14" t="s">
        <v>528</v>
      </c>
      <c r="G142" s="15" t="s">
        <v>368</v>
      </c>
      <c r="H142" s="15" t="s">
        <v>506</v>
      </c>
      <c r="I142" s="16" t="s">
        <v>455</v>
      </c>
      <c r="J142" s="17"/>
      <c r="K142" s="15" t="s">
        <v>58</v>
      </c>
      <c r="L142" s="15" t="s">
        <v>60</v>
      </c>
      <c r="M142" s="15" t="s">
        <v>205</v>
      </c>
      <c r="N142" s="17"/>
      <c r="O142" s="15" t="s">
        <v>459</v>
      </c>
      <c r="P142" s="15" t="s">
        <v>490</v>
      </c>
      <c r="Q142" s="15" t="s">
        <v>529</v>
      </c>
      <c r="R142" s="17"/>
      <c r="S142" s="40" t="str">
        <f>"607,5"</f>
        <v>607,5</v>
      </c>
      <c r="T142" s="17" t="str">
        <f>"413,7683"</f>
        <v>413,7683</v>
      </c>
      <c r="U142" s="14" t="s">
        <v>530</v>
      </c>
    </row>
    <row r="143" spans="1:21">
      <c r="A143" s="17" t="s">
        <v>75</v>
      </c>
      <c r="B143" s="14" t="s">
        <v>531</v>
      </c>
      <c r="C143" s="14" t="s">
        <v>532</v>
      </c>
      <c r="D143" s="14" t="s">
        <v>521</v>
      </c>
      <c r="E143" s="14" t="str">
        <f>"0,6754"</f>
        <v>0,6754</v>
      </c>
      <c r="F143" s="14" t="s">
        <v>533</v>
      </c>
      <c r="G143" s="15" t="s">
        <v>392</v>
      </c>
      <c r="H143" s="15" t="s">
        <v>506</v>
      </c>
      <c r="I143" s="16" t="s">
        <v>399</v>
      </c>
      <c r="J143" s="17"/>
      <c r="K143" s="15" t="s">
        <v>58</v>
      </c>
      <c r="L143" s="15" t="s">
        <v>60</v>
      </c>
      <c r="M143" s="15" t="s">
        <v>205</v>
      </c>
      <c r="N143" s="17"/>
      <c r="O143" s="15" t="s">
        <v>421</v>
      </c>
      <c r="P143" s="15" t="s">
        <v>490</v>
      </c>
      <c r="Q143" s="16" t="s">
        <v>529</v>
      </c>
      <c r="R143" s="17"/>
      <c r="S143" s="40" t="str">
        <f>"602,5"</f>
        <v>602,5</v>
      </c>
      <c r="T143" s="17" t="str">
        <f>"406,9285"</f>
        <v>406,9285</v>
      </c>
      <c r="U143" s="14" t="s">
        <v>158</v>
      </c>
    </row>
    <row r="144" spans="1:21">
      <c r="A144" s="17" t="s">
        <v>87</v>
      </c>
      <c r="B144" s="14" t="s">
        <v>534</v>
      </c>
      <c r="C144" s="14" t="s">
        <v>535</v>
      </c>
      <c r="D144" s="14" t="s">
        <v>536</v>
      </c>
      <c r="E144" s="14" t="str">
        <f>"0,6719"</f>
        <v>0,6719</v>
      </c>
      <c r="F144" s="14" t="s">
        <v>91</v>
      </c>
      <c r="G144" s="15" t="s">
        <v>374</v>
      </c>
      <c r="H144" s="16" t="s">
        <v>384</v>
      </c>
      <c r="I144" s="16" t="s">
        <v>384</v>
      </c>
      <c r="J144" s="17"/>
      <c r="K144" s="16" t="s">
        <v>59</v>
      </c>
      <c r="L144" s="15" t="s">
        <v>59</v>
      </c>
      <c r="M144" s="15" t="s">
        <v>60</v>
      </c>
      <c r="N144" s="17"/>
      <c r="O144" s="15" t="s">
        <v>384</v>
      </c>
      <c r="P144" s="15" t="s">
        <v>507</v>
      </c>
      <c r="Q144" s="16" t="s">
        <v>459</v>
      </c>
      <c r="R144" s="17"/>
      <c r="S144" s="40" t="str">
        <f>"577,5"</f>
        <v>577,5</v>
      </c>
      <c r="T144" s="17" t="str">
        <f>"388,0222"</f>
        <v>388,0222</v>
      </c>
      <c r="U144" s="14" t="s">
        <v>158</v>
      </c>
    </row>
    <row r="145" spans="1:21">
      <c r="A145" s="17" t="s">
        <v>168</v>
      </c>
      <c r="B145" s="14" t="s">
        <v>537</v>
      </c>
      <c r="C145" s="14" t="s">
        <v>538</v>
      </c>
      <c r="D145" s="14" t="s">
        <v>539</v>
      </c>
      <c r="E145" s="14" t="str">
        <f>"0,6729"</f>
        <v>0,6729</v>
      </c>
      <c r="F145" s="14" t="s">
        <v>540</v>
      </c>
      <c r="G145" s="16" t="s">
        <v>368</v>
      </c>
      <c r="H145" s="15" t="s">
        <v>368</v>
      </c>
      <c r="I145" s="16" t="s">
        <v>374</v>
      </c>
      <c r="J145" s="17"/>
      <c r="K145" s="15" t="s">
        <v>147</v>
      </c>
      <c r="L145" s="15" t="s">
        <v>59</v>
      </c>
      <c r="M145" s="15" t="s">
        <v>60</v>
      </c>
      <c r="N145" s="17"/>
      <c r="O145" s="15" t="s">
        <v>436</v>
      </c>
      <c r="P145" s="15" t="s">
        <v>421</v>
      </c>
      <c r="Q145" s="15" t="s">
        <v>422</v>
      </c>
      <c r="R145" s="17"/>
      <c r="S145" s="40" t="str">
        <f>"575,0"</f>
        <v>575,0</v>
      </c>
      <c r="T145" s="17" t="str">
        <f>"386,9175"</f>
        <v>386,9175</v>
      </c>
      <c r="U145" s="14" t="s">
        <v>541</v>
      </c>
    </row>
    <row r="146" spans="1:21">
      <c r="A146" s="17" t="s">
        <v>172</v>
      </c>
      <c r="B146" s="14" t="s">
        <v>503</v>
      </c>
      <c r="C146" s="14" t="s">
        <v>542</v>
      </c>
      <c r="D146" s="14" t="s">
        <v>468</v>
      </c>
      <c r="E146" s="14" t="str">
        <f>"0,6744"</f>
        <v>0,6744</v>
      </c>
      <c r="F146" s="14" t="s">
        <v>543</v>
      </c>
      <c r="G146" s="15" t="s">
        <v>398</v>
      </c>
      <c r="H146" s="15" t="s">
        <v>392</v>
      </c>
      <c r="I146" s="16" t="s">
        <v>506</v>
      </c>
      <c r="J146" s="17"/>
      <c r="K146" s="15" t="s">
        <v>55</v>
      </c>
      <c r="L146" s="15" t="s">
        <v>70</v>
      </c>
      <c r="M146" s="15" t="s">
        <v>145</v>
      </c>
      <c r="N146" s="17"/>
      <c r="O146" s="15" t="s">
        <v>420</v>
      </c>
      <c r="P146" s="15" t="s">
        <v>507</v>
      </c>
      <c r="Q146" s="16" t="s">
        <v>508</v>
      </c>
      <c r="R146" s="17"/>
      <c r="S146" s="40" t="str">
        <f>"542,5"</f>
        <v>542,5</v>
      </c>
      <c r="T146" s="17" t="str">
        <f>"365,8620"</f>
        <v>365,8620</v>
      </c>
      <c r="U146" s="14" t="s">
        <v>509</v>
      </c>
    </row>
    <row r="147" spans="1:21">
      <c r="A147" s="17" t="s">
        <v>178</v>
      </c>
      <c r="B147" s="14" t="s">
        <v>544</v>
      </c>
      <c r="C147" s="14" t="s">
        <v>545</v>
      </c>
      <c r="D147" s="14" t="s">
        <v>546</v>
      </c>
      <c r="E147" s="14" t="str">
        <f>"0,6816"</f>
        <v>0,6816</v>
      </c>
      <c r="F147" s="14" t="s">
        <v>547</v>
      </c>
      <c r="G147" s="15" t="s">
        <v>368</v>
      </c>
      <c r="H147" s="15" t="s">
        <v>383</v>
      </c>
      <c r="I147" s="16" t="s">
        <v>374</v>
      </c>
      <c r="J147" s="17"/>
      <c r="K147" s="15" t="s">
        <v>70</v>
      </c>
      <c r="L147" s="15" t="s">
        <v>85</v>
      </c>
      <c r="M147" s="16" t="s">
        <v>71</v>
      </c>
      <c r="N147" s="17"/>
      <c r="O147" s="15" t="s">
        <v>399</v>
      </c>
      <c r="P147" s="15" t="s">
        <v>436</v>
      </c>
      <c r="Q147" s="16" t="s">
        <v>420</v>
      </c>
      <c r="R147" s="17"/>
      <c r="S147" s="40" t="str">
        <f>"537,5"</f>
        <v>537,5</v>
      </c>
      <c r="T147" s="17" t="str">
        <f>"366,3600"</f>
        <v>366,3600</v>
      </c>
      <c r="U147" s="14" t="s">
        <v>158</v>
      </c>
    </row>
    <row r="148" spans="1:21">
      <c r="A148" s="17" t="s">
        <v>183</v>
      </c>
      <c r="B148" s="14" t="s">
        <v>548</v>
      </c>
      <c r="C148" s="14" t="s">
        <v>549</v>
      </c>
      <c r="D148" s="14" t="s">
        <v>536</v>
      </c>
      <c r="E148" s="14" t="str">
        <f>"0,6719"</f>
        <v>0,6719</v>
      </c>
      <c r="F148" s="14" t="s">
        <v>91</v>
      </c>
      <c r="G148" s="16" t="s">
        <v>550</v>
      </c>
      <c r="H148" s="16" t="s">
        <v>550</v>
      </c>
      <c r="I148" s="15" t="s">
        <v>550</v>
      </c>
      <c r="J148" s="17"/>
      <c r="K148" s="16" t="s">
        <v>47</v>
      </c>
      <c r="L148" s="15" t="s">
        <v>84</v>
      </c>
      <c r="M148" s="16" t="s">
        <v>85</v>
      </c>
      <c r="N148" s="17"/>
      <c r="O148" s="16" t="s">
        <v>384</v>
      </c>
      <c r="P148" s="15" t="s">
        <v>420</v>
      </c>
      <c r="Q148" s="15" t="s">
        <v>459</v>
      </c>
      <c r="R148" s="17"/>
      <c r="S148" s="40" t="str">
        <f>"525,0"</f>
        <v>525,0</v>
      </c>
      <c r="T148" s="17" t="str">
        <f>"352,7475"</f>
        <v>352,7475</v>
      </c>
      <c r="U148" s="14" t="s">
        <v>551</v>
      </c>
    </row>
    <row r="149" spans="1:21">
      <c r="A149" s="17" t="s">
        <v>186</v>
      </c>
      <c r="B149" s="14" t="s">
        <v>552</v>
      </c>
      <c r="C149" s="14" t="s">
        <v>553</v>
      </c>
      <c r="D149" s="14" t="s">
        <v>554</v>
      </c>
      <c r="E149" s="14" t="str">
        <f>"0,6739"</f>
        <v>0,6739</v>
      </c>
      <c r="F149" s="14" t="s">
        <v>91</v>
      </c>
      <c r="G149" s="15" t="s">
        <v>550</v>
      </c>
      <c r="H149" s="16" t="s">
        <v>398</v>
      </c>
      <c r="I149" s="15" t="s">
        <v>368</v>
      </c>
      <c r="J149" s="17"/>
      <c r="K149" s="15" t="s">
        <v>58</v>
      </c>
      <c r="L149" s="16" t="s">
        <v>59</v>
      </c>
      <c r="M149" s="16" t="s">
        <v>59</v>
      </c>
      <c r="N149" s="17"/>
      <c r="O149" s="15" t="s">
        <v>351</v>
      </c>
      <c r="P149" s="15" t="s">
        <v>368</v>
      </c>
      <c r="Q149" s="15" t="s">
        <v>383</v>
      </c>
      <c r="R149" s="17"/>
      <c r="S149" s="40" t="str">
        <f>"520,0"</f>
        <v>520,0</v>
      </c>
      <c r="T149" s="17" t="str">
        <f>"350,4280"</f>
        <v>350,4280</v>
      </c>
      <c r="U149" s="14" t="s">
        <v>555</v>
      </c>
    </row>
    <row r="150" spans="1:21">
      <c r="A150" s="17" t="s">
        <v>556</v>
      </c>
      <c r="B150" s="14" t="s">
        <v>557</v>
      </c>
      <c r="C150" s="14" t="s">
        <v>433</v>
      </c>
      <c r="D150" s="14" t="s">
        <v>481</v>
      </c>
      <c r="E150" s="14" t="str">
        <f>"0,6827"</f>
        <v>0,6827</v>
      </c>
      <c r="F150" s="14" t="s">
        <v>558</v>
      </c>
      <c r="G150" s="15" t="s">
        <v>248</v>
      </c>
      <c r="H150" s="16" t="s">
        <v>351</v>
      </c>
      <c r="I150" s="16" t="s">
        <v>351</v>
      </c>
      <c r="J150" s="17"/>
      <c r="K150" s="15" t="s">
        <v>209</v>
      </c>
      <c r="L150" s="15" t="s">
        <v>58</v>
      </c>
      <c r="M150" s="16" t="s">
        <v>59</v>
      </c>
      <c r="N150" s="17"/>
      <c r="O150" s="16" t="s">
        <v>399</v>
      </c>
      <c r="P150" s="16" t="s">
        <v>399</v>
      </c>
      <c r="Q150" s="15" t="s">
        <v>399</v>
      </c>
      <c r="R150" s="17"/>
      <c r="S150" s="40" t="str">
        <f>"515,0"</f>
        <v>515,0</v>
      </c>
      <c r="T150" s="17" t="str">
        <f>"351,5905"</f>
        <v>351,5905</v>
      </c>
      <c r="U150" s="14" t="s">
        <v>158</v>
      </c>
    </row>
    <row r="151" spans="1:21">
      <c r="A151" s="17" t="s">
        <v>559</v>
      </c>
      <c r="B151" s="14" t="s">
        <v>560</v>
      </c>
      <c r="C151" s="14" t="s">
        <v>561</v>
      </c>
      <c r="D151" s="14" t="s">
        <v>488</v>
      </c>
      <c r="E151" s="14" t="str">
        <f>"0,6832"</f>
        <v>0,6832</v>
      </c>
      <c r="F151" s="14" t="s">
        <v>562</v>
      </c>
      <c r="G151" s="15" t="s">
        <v>248</v>
      </c>
      <c r="H151" s="15" t="s">
        <v>458</v>
      </c>
      <c r="I151" s="16" t="s">
        <v>454</v>
      </c>
      <c r="J151" s="17"/>
      <c r="K151" s="16" t="s">
        <v>56</v>
      </c>
      <c r="L151" s="15" t="s">
        <v>56</v>
      </c>
      <c r="M151" s="16" t="s">
        <v>70</v>
      </c>
      <c r="N151" s="17"/>
      <c r="O151" s="15" t="s">
        <v>248</v>
      </c>
      <c r="P151" s="15" t="s">
        <v>392</v>
      </c>
      <c r="Q151" s="15" t="s">
        <v>399</v>
      </c>
      <c r="R151" s="17"/>
      <c r="S151" s="40" t="str">
        <f>"502,5"</f>
        <v>502,5</v>
      </c>
      <c r="T151" s="17" t="str">
        <f>"343,3080"</f>
        <v>343,3080</v>
      </c>
      <c r="U151" s="14" t="s">
        <v>563</v>
      </c>
    </row>
    <row r="152" spans="1:21">
      <c r="A152" s="17" t="s">
        <v>564</v>
      </c>
      <c r="B152" s="14" t="s">
        <v>565</v>
      </c>
      <c r="C152" s="14" t="s">
        <v>566</v>
      </c>
      <c r="D152" s="14" t="s">
        <v>567</v>
      </c>
      <c r="E152" s="14" t="str">
        <f>"0,6699"</f>
        <v>0,6699</v>
      </c>
      <c r="F152" s="14" t="s">
        <v>91</v>
      </c>
      <c r="G152" s="16" t="s">
        <v>60</v>
      </c>
      <c r="H152" s="16" t="s">
        <v>60</v>
      </c>
      <c r="I152" s="15" t="s">
        <v>60</v>
      </c>
      <c r="J152" s="17"/>
      <c r="K152" s="15" t="s">
        <v>38</v>
      </c>
      <c r="L152" s="16" t="s">
        <v>49</v>
      </c>
      <c r="M152" s="15" t="s">
        <v>49</v>
      </c>
      <c r="N152" s="17"/>
      <c r="O152" s="15" t="s">
        <v>248</v>
      </c>
      <c r="P152" s="15" t="s">
        <v>398</v>
      </c>
      <c r="Q152" s="15" t="s">
        <v>392</v>
      </c>
      <c r="R152" s="17"/>
      <c r="S152" s="40" t="str">
        <f>"445,0"</f>
        <v>445,0</v>
      </c>
      <c r="T152" s="17" t="str">
        <f>"298,1055"</f>
        <v>298,1055</v>
      </c>
      <c r="U152" s="14" t="s">
        <v>568</v>
      </c>
    </row>
    <row r="153" spans="1:21">
      <c r="A153" s="17" t="s">
        <v>569</v>
      </c>
      <c r="B153" s="14" t="s">
        <v>570</v>
      </c>
      <c r="C153" s="14" t="s">
        <v>571</v>
      </c>
      <c r="D153" s="14" t="s">
        <v>554</v>
      </c>
      <c r="E153" s="14" t="str">
        <f>"0,6739"</f>
        <v>0,6739</v>
      </c>
      <c r="F153" s="14" t="s">
        <v>102</v>
      </c>
      <c r="G153" s="15" t="s">
        <v>157</v>
      </c>
      <c r="H153" s="15" t="s">
        <v>59</v>
      </c>
      <c r="I153" s="16" t="s">
        <v>151</v>
      </c>
      <c r="J153" s="17"/>
      <c r="K153" s="15" t="s">
        <v>110</v>
      </c>
      <c r="L153" s="15" t="s">
        <v>46</v>
      </c>
      <c r="M153" s="16" t="s">
        <v>47</v>
      </c>
      <c r="N153" s="17"/>
      <c r="O153" s="15" t="s">
        <v>452</v>
      </c>
      <c r="P153" s="15" t="s">
        <v>392</v>
      </c>
      <c r="Q153" s="16" t="s">
        <v>374</v>
      </c>
      <c r="R153" s="17"/>
      <c r="S153" s="40" t="str">
        <f>"437,5"</f>
        <v>437,5</v>
      </c>
      <c r="T153" s="17" t="str">
        <f>"294,8313"</f>
        <v>294,8313</v>
      </c>
      <c r="U153" s="14" t="s">
        <v>105</v>
      </c>
    </row>
    <row r="154" spans="1:21">
      <c r="A154" s="17" t="s">
        <v>572</v>
      </c>
      <c r="B154" s="14" t="s">
        <v>573</v>
      </c>
      <c r="C154" s="14" t="s">
        <v>574</v>
      </c>
      <c r="D154" s="14" t="s">
        <v>575</v>
      </c>
      <c r="E154" s="14" t="str">
        <f>"0,6704"</f>
        <v>0,6704</v>
      </c>
      <c r="F154" s="14" t="s">
        <v>576</v>
      </c>
      <c r="G154" s="15" t="s">
        <v>71</v>
      </c>
      <c r="H154" s="15" t="s">
        <v>157</v>
      </c>
      <c r="I154" s="15" t="s">
        <v>60</v>
      </c>
      <c r="J154" s="17"/>
      <c r="K154" s="15" t="s">
        <v>38</v>
      </c>
      <c r="L154" s="15" t="s">
        <v>69</v>
      </c>
      <c r="M154" s="15" t="s">
        <v>56</v>
      </c>
      <c r="N154" s="17"/>
      <c r="O154" s="16" t="s">
        <v>59</v>
      </c>
      <c r="P154" s="15" t="s">
        <v>205</v>
      </c>
      <c r="Q154" s="15" t="s">
        <v>152</v>
      </c>
      <c r="R154" s="17"/>
      <c r="S154" s="40" t="str">
        <f>"430,0"</f>
        <v>430,0</v>
      </c>
      <c r="T154" s="17" t="str">
        <f>"288,2720"</f>
        <v>288,2720</v>
      </c>
      <c r="U154" s="14" t="s">
        <v>447</v>
      </c>
    </row>
    <row r="155" spans="1:21">
      <c r="A155" s="17" t="s">
        <v>577</v>
      </c>
      <c r="B155" s="14" t="s">
        <v>578</v>
      </c>
      <c r="C155" s="14" t="s">
        <v>579</v>
      </c>
      <c r="D155" s="14" t="s">
        <v>580</v>
      </c>
      <c r="E155" s="14" t="str">
        <f>"0,7011"</f>
        <v>0,7011</v>
      </c>
      <c r="F155" s="14" t="s">
        <v>222</v>
      </c>
      <c r="G155" s="15" t="s">
        <v>71</v>
      </c>
      <c r="H155" s="15" t="s">
        <v>58</v>
      </c>
      <c r="I155" s="16" t="s">
        <v>59</v>
      </c>
      <c r="J155" s="17"/>
      <c r="K155" s="15" t="s">
        <v>38</v>
      </c>
      <c r="L155" s="15" t="s">
        <v>69</v>
      </c>
      <c r="M155" s="17"/>
      <c r="N155" s="17"/>
      <c r="O155" s="15" t="s">
        <v>205</v>
      </c>
      <c r="P155" s="15" t="s">
        <v>152</v>
      </c>
      <c r="Q155" s="15" t="s">
        <v>248</v>
      </c>
      <c r="R155" s="17"/>
      <c r="S155" s="40" t="str">
        <f>"420,0"</f>
        <v>420,0</v>
      </c>
      <c r="T155" s="17" t="str">
        <f>"294,4620"</f>
        <v>294,4620</v>
      </c>
      <c r="U155" s="14" t="s">
        <v>223</v>
      </c>
    </row>
    <row r="156" spans="1:21">
      <c r="A156" s="17" t="s">
        <v>92</v>
      </c>
      <c r="B156" s="14" t="s">
        <v>581</v>
      </c>
      <c r="C156" s="14" t="s">
        <v>582</v>
      </c>
      <c r="D156" s="14" t="s">
        <v>583</v>
      </c>
      <c r="E156" s="14" t="str">
        <f>"0,7061"</f>
        <v>0,7061</v>
      </c>
      <c r="F156" s="14" t="s">
        <v>584</v>
      </c>
      <c r="G156" s="16" t="s">
        <v>398</v>
      </c>
      <c r="H156" s="15" t="s">
        <v>398</v>
      </c>
      <c r="I156" s="15" t="s">
        <v>392</v>
      </c>
      <c r="J156" s="17"/>
      <c r="K156" s="16"/>
      <c r="L156" s="16"/>
      <c r="M156" s="16"/>
      <c r="N156" s="17"/>
      <c r="O156" s="16"/>
      <c r="P156" s="17"/>
      <c r="Q156" s="17"/>
      <c r="R156" s="17"/>
      <c r="S156" s="40">
        <v>0</v>
      </c>
      <c r="T156" s="17" t="str">
        <f>"0,0000"</f>
        <v>0,0000</v>
      </c>
      <c r="U156" s="14" t="s">
        <v>158</v>
      </c>
    </row>
    <row r="157" spans="1:21">
      <c r="A157" s="17" t="s">
        <v>92</v>
      </c>
      <c r="B157" s="14" t="s">
        <v>585</v>
      </c>
      <c r="C157" s="14" t="s">
        <v>586</v>
      </c>
      <c r="D157" s="14" t="s">
        <v>587</v>
      </c>
      <c r="E157" s="14" t="str">
        <f>"0,6774"</f>
        <v>0,6774</v>
      </c>
      <c r="F157" s="14" t="s">
        <v>125</v>
      </c>
      <c r="G157" s="16" t="s">
        <v>383</v>
      </c>
      <c r="H157" s="16" t="s">
        <v>374</v>
      </c>
      <c r="I157" s="16" t="s">
        <v>374</v>
      </c>
      <c r="J157" s="17"/>
      <c r="K157" s="16"/>
      <c r="L157" s="17"/>
      <c r="M157" s="17"/>
      <c r="N157" s="17"/>
      <c r="O157" s="16"/>
      <c r="P157" s="17"/>
      <c r="Q157" s="17"/>
      <c r="R157" s="17"/>
      <c r="S157" s="40">
        <v>0</v>
      </c>
      <c r="T157" s="17" t="str">
        <f>"0,0000"</f>
        <v>0,0000</v>
      </c>
      <c r="U157" s="14" t="s">
        <v>126</v>
      </c>
    </row>
    <row r="158" spans="1:21">
      <c r="A158" s="17" t="s">
        <v>92</v>
      </c>
      <c r="B158" s="14" t="s">
        <v>588</v>
      </c>
      <c r="C158" s="14" t="s">
        <v>589</v>
      </c>
      <c r="D158" s="14" t="s">
        <v>590</v>
      </c>
      <c r="E158" s="14" t="str">
        <f>"0,6724"</f>
        <v>0,6724</v>
      </c>
      <c r="F158" s="14" t="s">
        <v>591</v>
      </c>
      <c r="G158" s="16" t="s">
        <v>374</v>
      </c>
      <c r="H158" s="16" t="s">
        <v>436</v>
      </c>
      <c r="I158" s="16" t="s">
        <v>436</v>
      </c>
      <c r="J158" s="17"/>
      <c r="K158" s="17"/>
      <c r="L158" s="17"/>
      <c r="M158" s="17"/>
      <c r="N158" s="17"/>
      <c r="O158" s="17"/>
      <c r="P158" s="16"/>
      <c r="Q158" s="17"/>
      <c r="R158" s="17"/>
      <c r="S158" s="40">
        <v>0</v>
      </c>
      <c r="T158" s="17" t="str">
        <f>"0,0000"</f>
        <v>0,0000</v>
      </c>
      <c r="U158" s="14" t="s">
        <v>158</v>
      </c>
    </row>
    <row r="159" spans="1:21">
      <c r="A159" s="17" t="s">
        <v>15</v>
      </c>
      <c r="B159" s="14" t="s">
        <v>592</v>
      </c>
      <c r="C159" s="14" t="s">
        <v>593</v>
      </c>
      <c r="D159" s="14" t="s">
        <v>539</v>
      </c>
      <c r="E159" s="14" t="str">
        <f>"0,6729"</f>
        <v>0,6729</v>
      </c>
      <c r="F159" s="14" t="s">
        <v>594</v>
      </c>
      <c r="G159" s="15" t="s">
        <v>248</v>
      </c>
      <c r="H159" s="16" t="s">
        <v>368</v>
      </c>
      <c r="I159" s="15" t="s">
        <v>392</v>
      </c>
      <c r="J159" s="17"/>
      <c r="K159" s="15" t="s">
        <v>69</v>
      </c>
      <c r="L159" s="15" t="s">
        <v>70</v>
      </c>
      <c r="M159" s="16" t="s">
        <v>145</v>
      </c>
      <c r="N159" s="17"/>
      <c r="O159" s="15" t="s">
        <v>374</v>
      </c>
      <c r="P159" s="15" t="s">
        <v>384</v>
      </c>
      <c r="Q159" s="15" t="s">
        <v>420</v>
      </c>
      <c r="R159" s="17"/>
      <c r="S159" s="40" t="str">
        <f>"530,0"</f>
        <v>530,0</v>
      </c>
      <c r="T159" s="17" t="str">
        <f>"390,8742"</f>
        <v>390,8742</v>
      </c>
      <c r="U159" s="14" t="s">
        <v>158</v>
      </c>
    </row>
    <row r="160" spans="1:21">
      <c r="A160" s="20" t="s">
        <v>92</v>
      </c>
      <c r="B160" s="18" t="s">
        <v>595</v>
      </c>
      <c r="C160" s="18" t="s">
        <v>596</v>
      </c>
      <c r="D160" s="18" t="s">
        <v>468</v>
      </c>
      <c r="E160" s="18" t="str">
        <f>"0,6744"</f>
        <v>0,6744</v>
      </c>
      <c r="F160" s="18" t="s">
        <v>594</v>
      </c>
      <c r="G160" s="22" t="s">
        <v>71</v>
      </c>
      <c r="H160" s="22" t="s">
        <v>71</v>
      </c>
      <c r="I160" s="22" t="s">
        <v>71</v>
      </c>
      <c r="J160" s="20"/>
      <c r="K160" s="22"/>
      <c r="L160" s="20"/>
      <c r="M160" s="20"/>
      <c r="N160" s="20"/>
      <c r="O160" s="22"/>
      <c r="P160" s="20"/>
      <c r="Q160" s="20"/>
      <c r="R160" s="20"/>
      <c r="S160" s="38">
        <v>0</v>
      </c>
      <c r="T160" s="20" t="str">
        <f>"0,0000"</f>
        <v>0,0000</v>
      </c>
      <c r="U160" s="18" t="s">
        <v>597</v>
      </c>
    </row>
    <row r="161" spans="1:21">
      <c r="B161" s="5" t="s">
        <v>40</v>
      </c>
    </row>
    <row r="162" spans="1:21" ht="15.95">
      <c r="A162" s="102" t="s">
        <v>598</v>
      </c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</row>
    <row r="163" spans="1:21">
      <c r="A163" s="13" t="s">
        <v>15</v>
      </c>
      <c r="B163" s="11" t="s">
        <v>599</v>
      </c>
      <c r="C163" s="11" t="s">
        <v>600</v>
      </c>
      <c r="D163" s="11" t="s">
        <v>601</v>
      </c>
      <c r="E163" s="11" t="str">
        <f>"0,6562"</f>
        <v>0,6562</v>
      </c>
      <c r="F163" s="11" t="s">
        <v>602</v>
      </c>
      <c r="G163" s="12" t="s">
        <v>248</v>
      </c>
      <c r="H163" s="12" t="s">
        <v>398</v>
      </c>
      <c r="I163" s="21" t="s">
        <v>392</v>
      </c>
      <c r="J163" s="13"/>
      <c r="K163" s="12" t="s">
        <v>38</v>
      </c>
      <c r="L163" s="12" t="s">
        <v>49</v>
      </c>
      <c r="M163" s="12" t="s">
        <v>69</v>
      </c>
      <c r="N163" s="13"/>
      <c r="O163" s="12" t="s">
        <v>152</v>
      </c>
      <c r="P163" s="12" t="s">
        <v>351</v>
      </c>
      <c r="Q163" s="12" t="s">
        <v>398</v>
      </c>
      <c r="R163" s="13"/>
      <c r="S163" s="37" t="str">
        <f>"470,0"</f>
        <v>470,0</v>
      </c>
      <c r="T163" s="13" t="str">
        <f>"308,4140"</f>
        <v>308,4140</v>
      </c>
      <c r="U163" s="11" t="s">
        <v>603</v>
      </c>
    </row>
    <row r="164" spans="1:21">
      <c r="A164" s="17" t="s">
        <v>15</v>
      </c>
      <c r="B164" s="14" t="s">
        <v>604</v>
      </c>
      <c r="C164" s="14" t="s">
        <v>605</v>
      </c>
      <c r="D164" s="14" t="s">
        <v>606</v>
      </c>
      <c r="E164" s="14" t="str">
        <f>"0,6515"</f>
        <v>0,6515</v>
      </c>
      <c r="F164" s="14" t="s">
        <v>607</v>
      </c>
      <c r="G164" s="15" t="s">
        <v>151</v>
      </c>
      <c r="H164" s="15" t="s">
        <v>398</v>
      </c>
      <c r="I164" s="16" t="s">
        <v>392</v>
      </c>
      <c r="J164" s="17"/>
      <c r="K164" s="15" t="s">
        <v>70</v>
      </c>
      <c r="L164" s="15" t="s">
        <v>209</v>
      </c>
      <c r="M164" s="15" t="s">
        <v>346</v>
      </c>
      <c r="N164" s="17"/>
      <c r="O164" s="15" t="s">
        <v>374</v>
      </c>
      <c r="P164" s="15" t="s">
        <v>421</v>
      </c>
      <c r="Q164" s="16" t="s">
        <v>422</v>
      </c>
      <c r="R164" s="17"/>
      <c r="S164" s="40" t="str">
        <f>"552,5"</f>
        <v>552,5</v>
      </c>
      <c r="T164" s="17" t="str">
        <f>"359,9537"</f>
        <v>359,9537</v>
      </c>
      <c r="U164" s="14" t="s">
        <v>608</v>
      </c>
    </row>
    <row r="165" spans="1:21">
      <c r="A165" s="17" t="s">
        <v>62</v>
      </c>
      <c r="B165" s="14" t="s">
        <v>609</v>
      </c>
      <c r="C165" s="14" t="s">
        <v>610</v>
      </c>
      <c r="D165" s="14" t="s">
        <v>611</v>
      </c>
      <c r="E165" s="14" t="str">
        <f>"0,6601"</f>
        <v>0,6601</v>
      </c>
      <c r="F165" s="14" t="s">
        <v>612</v>
      </c>
      <c r="G165" s="15" t="s">
        <v>58</v>
      </c>
      <c r="H165" s="15" t="s">
        <v>60</v>
      </c>
      <c r="I165" s="15" t="s">
        <v>205</v>
      </c>
      <c r="J165" s="17"/>
      <c r="K165" s="15" t="s">
        <v>36</v>
      </c>
      <c r="L165" s="16" t="s">
        <v>38</v>
      </c>
      <c r="M165" s="15" t="s">
        <v>38</v>
      </c>
      <c r="N165" s="17"/>
      <c r="O165" s="15" t="s">
        <v>60</v>
      </c>
      <c r="P165" s="15" t="s">
        <v>151</v>
      </c>
      <c r="Q165" s="17"/>
      <c r="R165" s="17"/>
      <c r="S165" s="40" t="str">
        <f>"415,0"</f>
        <v>415,0</v>
      </c>
      <c r="T165" s="17" t="str">
        <f>"273,9415"</f>
        <v>273,9415</v>
      </c>
      <c r="U165" s="14" t="s">
        <v>158</v>
      </c>
    </row>
    <row r="166" spans="1:21">
      <c r="A166" s="17" t="s">
        <v>15</v>
      </c>
      <c r="B166" s="14" t="s">
        <v>613</v>
      </c>
      <c r="C166" s="14" t="s">
        <v>614</v>
      </c>
      <c r="D166" s="14" t="s">
        <v>615</v>
      </c>
      <c r="E166" s="14" t="str">
        <f>"0,6491"</f>
        <v>0,6491</v>
      </c>
      <c r="F166" s="14" t="s">
        <v>91</v>
      </c>
      <c r="G166" s="15" t="s">
        <v>392</v>
      </c>
      <c r="H166" s="16" t="s">
        <v>374</v>
      </c>
      <c r="I166" s="16" t="s">
        <v>374</v>
      </c>
      <c r="J166" s="17"/>
      <c r="K166" s="15" t="s">
        <v>58</v>
      </c>
      <c r="L166" s="16" t="s">
        <v>60</v>
      </c>
      <c r="M166" s="15" t="s">
        <v>205</v>
      </c>
      <c r="N166" s="17"/>
      <c r="O166" s="15" t="s">
        <v>374</v>
      </c>
      <c r="P166" s="15" t="s">
        <v>420</v>
      </c>
      <c r="Q166" s="15" t="s">
        <v>421</v>
      </c>
      <c r="R166" s="17"/>
      <c r="S166" s="40" t="str">
        <f>"575,0"</f>
        <v>575,0</v>
      </c>
      <c r="T166" s="17" t="str">
        <f>"373,2325"</f>
        <v>373,2325</v>
      </c>
      <c r="U166" s="14" t="s">
        <v>608</v>
      </c>
    </row>
    <row r="167" spans="1:21">
      <c r="A167" s="17" t="s">
        <v>62</v>
      </c>
      <c r="B167" s="14" t="s">
        <v>616</v>
      </c>
      <c r="C167" s="14" t="s">
        <v>617</v>
      </c>
      <c r="D167" s="14" t="s">
        <v>606</v>
      </c>
      <c r="E167" s="14" t="str">
        <f>"0,6515"</f>
        <v>0,6515</v>
      </c>
      <c r="F167" s="14" t="s">
        <v>618</v>
      </c>
      <c r="G167" s="15" t="s">
        <v>151</v>
      </c>
      <c r="H167" s="15" t="s">
        <v>248</v>
      </c>
      <c r="I167" s="16" t="s">
        <v>398</v>
      </c>
      <c r="J167" s="17"/>
      <c r="K167" s="15" t="s">
        <v>145</v>
      </c>
      <c r="L167" s="15" t="s">
        <v>71</v>
      </c>
      <c r="M167" s="15" t="s">
        <v>209</v>
      </c>
      <c r="N167" s="17"/>
      <c r="O167" s="15" t="s">
        <v>399</v>
      </c>
      <c r="P167" s="15" t="s">
        <v>420</v>
      </c>
      <c r="Q167" s="15" t="s">
        <v>421</v>
      </c>
      <c r="R167" s="17"/>
      <c r="S167" s="40" t="str">
        <f>"535,0"</f>
        <v>535,0</v>
      </c>
      <c r="T167" s="17" t="str">
        <f>"348,5525"</f>
        <v>348,5525</v>
      </c>
      <c r="U167" s="14" t="s">
        <v>619</v>
      </c>
    </row>
    <row r="168" spans="1:21">
      <c r="A168" s="17" t="s">
        <v>73</v>
      </c>
      <c r="B168" s="14" t="s">
        <v>620</v>
      </c>
      <c r="C168" s="14" t="s">
        <v>621</v>
      </c>
      <c r="D168" s="14" t="s">
        <v>622</v>
      </c>
      <c r="E168" s="14" t="str">
        <f>"0,6495"</f>
        <v>0,6495</v>
      </c>
      <c r="F168" s="14" t="s">
        <v>91</v>
      </c>
      <c r="G168" s="15" t="s">
        <v>71</v>
      </c>
      <c r="H168" s="15" t="s">
        <v>58</v>
      </c>
      <c r="I168" s="15" t="s">
        <v>60</v>
      </c>
      <c r="J168" s="17"/>
      <c r="K168" s="15" t="s">
        <v>36</v>
      </c>
      <c r="L168" s="16" t="s">
        <v>38</v>
      </c>
      <c r="M168" s="16" t="s">
        <v>38</v>
      </c>
      <c r="N168" s="17"/>
      <c r="O168" s="15" t="s">
        <v>60</v>
      </c>
      <c r="P168" s="15" t="s">
        <v>151</v>
      </c>
      <c r="Q168" s="15" t="s">
        <v>550</v>
      </c>
      <c r="R168" s="17"/>
      <c r="S168" s="40" t="str">
        <f>"412,5"</f>
        <v>412,5</v>
      </c>
      <c r="T168" s="17" t="str">
        <f>"267,9188"</f>
        <v>267,9188</v>
      </c>
      <c r="U168" s="14" t="s">
        <v>213</v>
      </c>
    </row>
    <row r="169" spans="1:21">
      <c r="A169" s="17" t="s">
        <v>15</v>
      </c>
      <c r="B169" s="14" t="s">
        <v>623</v>
      </c>
      <c r="C169" s="14" t="s">
        <v>624</v>
      </c>
      <c r="D169" s="14" t="s">
        <v>625</v>
      </c>
      <c r="E169" s="14" t="str">
        <f>"0,6402"</f>
        <v>0,6402</v>
      </c>
      <c r="F169" s="14" t="s">
        <v>626</v>
      </c>
      <c r="G169" s="16" t="s">
        <v>627</v>
      </c>
      <c r="H169" s="16" t="s">
        <v>529</v>
      </c>
      <c r="I169" s="15" t="s">
        <v>523</v>
      </c>
      <c r="J169" s="17"/>
      <c r="K169" s="15" t="s">
        <v>205</v>
      </c>
      <c r="L169" s="16" t="s">
        <v>151</v>
      </c>
      <c r="M169" s="15" t="s">
        <v>151</v>
      </c>
      <c r="N169" s="17"/>
      <c r="O169" s="15" t="s">
        <v>490</v>
      </c>
      <c r="P169" s="15" t="s">
        <v>523</v>
      </c>
      <c r="Q169" s="16" t="s">
        <v>628</v>
      </c>
      <c r="R169" s="17"/>
      <c r="S169" s="40" t="str">
        <f>"680,0"</f>
        <v>680,0</v>
      </c>
      <c r="T169" s="17" t="str">
        <f>"435,3360"</f>
        <v>435,3360</v>
      </c>
      <c r="U169" s="14" t="s">
        <v>629</v>
      </c>
    </row>
    <row r="170" spans="1:21">
      <c r="A170" s="17" t="s">
        <v>62</v>
      </c>
      <c r="B170" s="14" t="s">
        <v>630</v>
      </c>
      <c r="C170" s="14" t="s">
        <v>631</v>
      </c>
      <c r="D170" s="14" t="s">
        <v>632</v>
      </c>
      <c r="E170" s="14" t="str">
        <f>"0,6428"</f>
        <v>0,6428</v>
      </c>
      <c r="F170" s="14" t="s">
        <v>633</v>
      </c>
      <c r="G170" s="15" t="s">
        <v>384</v>
      </c>
      <c r="H170" s="15" t="s">
        <v>420</v>
      </c>
      <c r="I170" s="15" t="s">
        <v>442</v>
      </c>
      <c r="J170" s="17"/>
      <c r="K170" s="15" t="s">
        <v>152</v>
      </c>
      <c r="L170" s="15" t="s">
        <v>248</v>
      </c>
      <c r="M170" s="15" t="s">
        <v>351</v>
      </c>
      <c r="N170" s="17"/>
      <c r="O170" s="15" t="s">
        <v>422</v>
      </c>
      <c r="P170" s="15" t="s">
        <v>490</v>
      </c>
      <c r="Q170" s="15" t="s">
        <v>523</v>
      </c>
      <c r="R170" s="17"/>
      <c r="S170" s="40" t="str">
        <f>"660,0"</f>
        <v>660,0</v>
      </c>
      <c r="T170" s="17" t="str">
        <f>"424,2480"</f>
        <v>424,2480</v>
      </c>
      <c r="U170" s="14" t="s">
        <v>158</v>
      </c>
    </row>
    <row r="171" spans="1:21">
      <c r="A171" s="17" t="s">
        <v>73</v>
      </c>
      <c r="B171" s="14" t="s">
        <v>634</v>
      </c>
      <c r="C171" s="14" t="s">
        <v>635</v>
      </c>
      <c r="D171" s="14" t="s">
        <v>632</v>
      </c>
      <c r="E171" s="14" t="str">
        <f>"0,6428"</f>
        <v>0,6428</v>
      </c>
      <c r="F171" s="14" t="s">
        <v>636</v>
      </c>
      <c r="G171" s="15" t="s">
        <v>398</v>
      </c>
      <c r="H171" s="15" t="s">
        <v>374</v>
      </c>
      <c r="I171" s="15" t="s">
        <v>399</v>
      </c>
      <c r="J171" s="17"/>
      <c r="K171" s="15" t="s">
        <v>151</v>
      </c>
      <c r="L171" s="15" t="s">
        <v>152</v>
      </c>
      <c r="M171" s="16" t="s">
        <v>347</v>
      </c>
      <c r="N171" s="17"/>
      <c r="O171" s="15" t="s">
        <v>421</v>
      </c>
      <c r="P171" s="15" t="s">
        <v>422</v>
      </c>
      <c r="Q171" s="15" t="s">
        <v>627</v>
      </c>
      <c r="R171" s="17"/>
      <c r="S171" s="40" t="str">
        <f>"615,0"</f>
        <v>615,0</v>
      </c>
      <c r="T171" s="17" t="str">
        <f>"395,3220"</f>
        <v>395,3220</v>
      </c>
      <c r="U171" s="14" t="s">
        <v>158</v>
      </c>
    </row>
    <row r="172" spans="1:21">
      <c r="A172" s="17" t="s">
        <v>75</v>
      </c>
      <c r="B172" s="14" t="s">
        <v>637</v>
      </c>
      <c r="C172" s="14" t="s">
        <v>638</v>
      </c>
      <c r="D172" s="14" t="s">
        <v>639</v>
      </c>
      <c r="E172" s="14" t="str">
        <f>"0,6503"</f>
        <v>0,6503</v>
      </c>
      <c r="F172" s="14" t="s">
        <v>285</v>
      </c>
      <c r="G172" s="15" t="s">
        <v>392</v>
      </c>
      <c r="H172" s="16" t="s">
        <v>374</v>
      </c>
      <c r="I172" s="15" t="s">
        <v>374</v>
      </c>
      <c r="J172" s="17"/>
      <c r="K172" s="15" t="s">
        <v>70</v>
      </c>
      <c r="L172" s="15" t="s">
        <v>145</v>
      </c>
      <c r="M172" s="17"/>
      <c r="N172" s="17"/>
      <c r="O172" s="15" t="s">
        <v>422</v>
      </c>
      <c r="P172" s="15" t="s">
        <v>529</v>
      </c>
      <c r="Q172" s="15" t="s">
        <v>640</v>
      </c>
      <c r="R172" s="17"/>
      <c r="S172" s="40" t="str">
        <f>"595,0"</f>
        <v>595,0</v>
      </c>
      <c r="T172" s="17" t="str">
        <f>"386,9285"</f>
        <v>386,9285</v>
      </c>
      <c r="U172" s="14" t="s">
        <v>158</v>
      </c>
    </row>
    <row r="173" spans="1:21">
      <c r="A173" s="17" t="s">
        <v>87</v>
      </c>
      <c r="B173" s="14" t="s">
        <v>641</v>
      </c>
      <c r="C173" s="14" t="s">
        <v>642</v>
      </c>
      <c r="D173" s="14" t="s">
        <v>643</v>
      </c>
      <c r="E173" s="14" t="str">
        <f>"0,6391"</f>
        <v>0,6391</v>
      </c>
      <c r="F173" s="14" t="s">
        <v>644</v>
      </c>
      <c r="G173" s="15" t="s">
        <v>392</v>
      </c>
      <c r="H173" s="15" t="s">
        <v>374</v>
      </c>
      <c r="I173" s="15" t="s">
        <v>384</v>
      </c>
      <c r="J173" s="17"/>
      <c r="K173" s="15" t="s">
        <v>145</v>
      </c>
      <c r="L173" s="15" t="s">
        <v>157</v>
      </c>
      <c r="M173" s="15" t="s">
        <v>147</v>
      </c>
      <c r="N173" s="17"/>
      <c r="O173" s="15" t="s">
        <v>421</v>
      </c>
      <c r="P173" s="15" t="s">
        <v>645</v>
      </c>
      <c r="Q173" s="16" t="s">
        <v>523</v>
      </c>
      <c r="R173" s="17"/>
      <c r="S173" s="40" t="str">
        <f>"595,0"</f>
        <v>595,0</v>
      </c>
      <c r="T173" s="17" t="str">
        <f>"380,2645"</f>
        <v>380,2645</v>
      </c>
      <c r="U173" s="14" t="s">
        <v>646</v>
      </c>
    </row>
    <row r="174" spans="1:21">
      <c r="A174" s="17" t="s">
        <v>168</v>
      </c>
      <c r="B174" s="14" t="s">
        <v>647</v>
      </c>
      <c r="C174" s="14" t="s">
        <v>648</v>
      </c>
      <c r="D174" s="14" t="s">
        <v>649</v>
      </c>
      <c r="E174" s="14" t="str">
        <f>"0,6432"</f>
        <v>0,6432</v>
      </c>
      <c r="F174" s="14" t="s">
        <v>650</v>
      </c>
      <c r="G174" s="15" t="s">
        <v>392</v>
      </c>
      <c r="H174" s="15" t="s">
        <v>399</v>
      </c>
      <c r="I174" s="16" t="s">
        <v>436</v>
      </c>
      <c r="J174" s="17"/>
      <c r="K174" s="15" t="s">
        <v>346</v>
      </c>
      <c r="L174" s="15" t="s">
        <v>204</v>
      </c>
      <c r="M174" s="16" t="s">
        <v>254</v>
      </c>
      <c r="N174" s="17"/>
      <c r="O174" s="15" t="s">
        <v>384</v>
      </c>
      <c r="P174" s="15" t="s">
        <v>442</v>
      </c>
      <c r="Q174" s="16" t="s">
        <v>422</v>
      </c>
      <c r="R174" s="17"/>
      <c r="S174" s="40" t="str">
        <f>"577,5"</f>
        <v>577,5</v>
      </c>
      <c r="T174" s="17" t="str">
        <f>"371,4480"</f>
        <v>371,4480</v>
      </c>
      <c r="U174" s="14" t="s">
        <v>158</v>
      </c>
    </row>
    <row r="175" spans="1:21">
      <c r="A175" s="17" t="s">
        <v>172</v>
      </c>
      <c r="B175" s="14" t="s">
        <v>651</v>
      </c>
      <c r="C175" s="14" t="s">
        <v>652</v>
      </c>
      <c r="D175" s="14" t="s">
        <v>653</v>
      </c>
      <c r="E175" s="14" t="str">
        <f>"0,6475"</f>
        <v>0,6475</v>
      </c>
      <c r="F175" s="14" t="s">
        <v>222</v>
      </c>
      <c r="G175" s="15" t="s">
        <v>151</v>
      </c>
      <c r="H175" s="15" t="s">
        <v>248</v>
      </c>
      <c r="I175" s="15" t="s">
        <v>398</v>
      </c>
      <c r="J175" s="17"/>
      <c r="K175" s="15" t="s">
        <v>59</v>
      </c>
      <c r="L175" s="15" t="s">
        <v>342</v>
      </c>
      <c r="M175" s="16" t="s">
        <v>205</v>
      </c>
      <c r="N175" s="17"/>
      <c r="O175" s="16" t="s">
        <v>374</v>
      </c>
      <c r="P175" s="15" t="s">
        <v>374</v>
      </c>
      <c r="Q175" s="16" t="s">
        <v>495</v>
      </c>
      <c r="R175" s="17"/>
      <c r="S175" s="40" t="str">
        <f>"532,5"</f>
        <v>532,5</v>
      </c>
      <c r="T175" s="17" t="str">
        <f>"344,7937"</f>
        <v>344,7937</v>
      </c>
      <c r="U175" s="14" t="s">
        <v>654</v>
      </c>
    </row>
    <row r="176" spans="1:21">
      <c r="A176" s="17" t="s">
        <v>178</v>
      </c>
      <c r="B176" s="14" t="s">
        <v>655</v>
      </c>
      <c r="C176" s="14" t="s">
        <v>656</v>
      </c>
      <c r="D176" s="14" t="s">
        <v>657</v>
      </c>
      <c r="E176" s="14" t="str">
        <f>"0,6680"</f>
        <v>0,6680</v>
      </c>
      <c r="F176" s="14" t="s">
        <v>91</v>
      </c>
      <c r="G176" s="15" t="s">
        <v>248</v>
      </c>
      <c r="H176" s="16" t="s">
        <v>398</v>
      </c>
      <c r="I176" s="16" t="s">
        <v>398</v>
      </c>
      <c r="J176" s="17"/>
      <c r="K176" s="15" t="s">
        <v>71</v>
      </c>
      <c r="L176" s="15" t="s">
        <v>209</v>
      </c>
      <c r="M176" s="16" t="s">
        <v>58</v>
      </c>
      <c r="N176" s="17"/>
      <c r="O176" s="15" t="s">
        <v>374</v>
      </c>
      <c r="P176" s="15" t="s">
        <v>384</v>
      </c>
      <c r="Q176" s="15" t="s">
        <v>436</v>
      </c>
      <c r="R176" s="17"/>
      <c r="S176" s="40" t="str">
        <f>"520,0"</f>
        <v>520,0</v>
      </c>
      <c r="T176" s="17" t="str">
        <f>"347,3600"</f>
        <v>347,3600</v>
      </c>
      <c r="U176" s="14" t="s">
        <v>158</v>
      </c>
    </row>
    <row r="177" spans="1:21">
      <c r="A177" s="17" t="s">
        <v>183</v>
      </c>
      <c r="B177" s="14" t="s">
        <v>658</v>
      </c>
      <c r="C177" s="14" t="s">
        <v>659</v>
      </c>
      <c r="D177" s="14" t="s">
        <v>660</v>
      </c>
      <c r="E177" s="14" t="str">
        <f>"0,6417"</f>
        <v>0,6417</v>
      </c>
      <c r="F177" s="14" t="s">
        <v>602</v>
      </c>
      <c r="G177" s="16" t="s">
        <v>392</v>
      </c>
      <c r="H177" s="16" t="s">
        <v>392</v>
      </c>
      <c r="I177" s="15" t="s">
        <v>392</v>
      </c>
      <c r="J177" s="17"/>
      <c r="K177" s="15" t="s">
        <v>70</v>
      </c>
      <c r="L177" s="16" t="s">
        <v>85</v>
      </c>
      <c r="M177" s="16" t="s">
        <v>85</v>
      </c>
      <c r="N177" s="17"/>
      <c r="O177" s="15" t="s">
        <v>384</v>
      </c>
      <c r="P177" s="16" t="s">
        <v>421</v>
      </c>
      <c r="Q177" s="16" t="s">
        <v>421</v>
      </c>
      <c r="R177" s="17"/>
      <c r="S177" s="40" t="str">
        <f>"520,0"</f>
        <v>520,0</v>
      </c>
      <c r="T177" s="17" t="str">
        <f>"333,6840"</f>
        <v>333,6840</v>
      </c>
      <c r="U177" s="14" t="s">
        <v>661</v>
      </c>
    </row>
    <row r="178" spans="1:21">
      <c r="A178" s="17" t="s">
        <v>15</v>
      </c>
      <c r="B178" s="14" t="s">
        <v>662</v>
      </c>
      <c r="C178" s="14" t="s">
        <v>663</v>
      </c>
      <c r="D178" s="14" t="s">
        <v>606</v>
      </c>
      <c r="E178" s="14" t="str">
        <f>"0,6515"</f>
        <v>0,6515</v>
      </c>
      <c r="F178" s="14" t="s">
        <v>102</v>
      </c>
      <c r="G178" s="16" t="s">
        <v>157</v>
      </c>
      <c r="H178" s="15" t="s">
        <v>147</v>
      </c>
      <c r="I178" s="15" t="s">
        <v>59</v>
      </c>
      <c r="J178" s="17"/>
      <c r="K178" s="15" t="s">
        <v>110</v>
      </c>
      <c r="L178" s="15" t="s">
        <v>46</v>
      </c>
      <c r="M178" s="16" t="s">
        <v>47</v>
      </c>
      <c r="N178" s="17"/>
      <c r="O178" s="15" t="s">
        <v>550</v>
      </c>
      <c r="P178" s="15" t="s">
        <v>398</v>
      </c>
      <c r="Q178" s="15" t="s">
        <v>453</v>
      </c>
      <c r="R178" s="17"/>
      <c r="S178" s="40" t="str">
        <f>"435,0"</f>
        <v>435,0</v>
      </c>
      <c r="T178" s="17" t="str">
        <f>"310,6091"</f>
        <v>310,6091</v>
      </c>
      <c r="U178" s="14" t="s">
        <v>105</v>
      </c>
    </row>
    <row r="179" spans="1:21">
      <c r="A179" s="17" t="s">
        <v>15</v>
      </c>
      <c r="B179" s="14" t="s">
        <v>623</v>
      </c>
      <c r="C179" s="14" t="s">
        <v>664</v>
      </c>
      <c r="D179" s="14" t="s">
        <v>625</v>
      </c>
      <c r="E179" s="14" t="str">
        <f>"0,6402"</f>
        <v>0,6402</v>
      </c>
      <c r="F179" s="14" t="s">
        <v>626</v>
      </c>
      <c r="G179" s="16" t="s">
        <v>627</v>
      </c>
      <c r="H179" s="16" t="s">
        <v>529</v>
      </c>
      <c r="I179" s="15" t="s">
        <v>523</v>
      </c>
      <c r="J179" s="17"/>
      <c r="K179" s="15" t="s">
        <v>205</v>
      </c>
      <c r="L179" s="16" t="s">
        <v>151</v>
      </c>
      <c r="M179" s="15" t="s">
        <v>151</v>
      </c>
      <c r="N179" s="17"/>
      <c r="O179" s="15" t="s">
        <v>490</v>
      </c>
      <c r="P179" s="15" t="s">
        <v>523</v>
      </c>
      <c r="Q179" s="16" t="s">
        <v>628</v>
      </c>
      <c r="R179" s="17"/>
      <c r="S179" s="40" t="str">
        <f>"680,0"</f>
        <v>680,0</v>
      </c>
      <c r="T179" s="17" t="str">
        <f>"544,1700"</f>
        <v>544,1700</v>
      </c>
      <c r="U179" s="14" t="s">
        <v>629</v>
      </c>
    </row>
    <row r="180" spans="1:21">
      <c r="A180" s="17" t="s">
        <v>62</v>
      </c>
      <c r="B180" s="14" t="s">
        <v>665</v>
      </c>
      <c r="C180" s="14" t="s">
        <v>666</v>
      </c>
      <c r="D180" s="14" t="s">
        <v>606</v>
      </c>
      <c r="E180" s="14" t="str">
        <f>"0,6515"</f>
        <v>0,6515</v>
      </c>
      <c r="F180" s="14" t="s">
        <v>91</v>
      </c>
      <c r="G180" s="15" t="s">
        <v>398</v>
      </c>
      <c r="H180" s="16" t="s">
        <v>368</v>
      </c>
      <c r="I180" s="16" t="s">
        <v>368</v>
      </c>
      <c r="J180" s="17"/>
      <c r="K180" s="15" t="s">
        <v>70</v>
      </c>
      <c r="L180" s="16" t="s">
        <v>145</v>
      </c>
      <c r="M180" s="16" t="s">
        <v>145</v>
      </c>
      <c r="N180" s="17"/>
      <c r="O180" s="15" t="s">
        <v>374</v>
      </c>
      <c r="P180" s="15" t="s">
        <v>384</v>
      </c>
      <c r="Q180" s="16" t="s">
        <v>436</v>
      </c>
      <c r="R180" s="17"/>
      <c r="S180" s="40" t="str">
        <f>"510,0"</f>
        <v>510,0</v>
      </c>
      <c r="T180" s="17" t="str">
        <f>"382,1047"</f>
        <v>382,1047</v>
      </c>
      <c r="U180" s="14" t="s">
        <v>158</v>
      </c>
    </row>
    <row r="181" spans="1:21">
      <c r="A181" s="20" t="s">
        <v>15</v>
      </c>
      <c r="B181" s="18" t="s">
        <v>667</v>
      </c>
      <c r="C181" s="18" t="s">
        <v>668</v>
      </c>
      <c r="D181" s="18" t="s">
        <v>622</v>
      </c>
      <c r="E181" s="18" t="str">
        <f>"0,6495"</f>
        <v>0,6495</v>
      </c>
      <c r="F181" s="18" t="s">
        <v>669</v>
      </c>
      <c r="G181" s="19" t="s">
        <v>58</v>
      </c>
      <c r="H181" s="22" t="s">
        <v>60</v>
      </c>
      <c r="I181" s="22" t="s">
        <v>60</v>
      </c>
      <c r="J181" s="20"/>
      <c r="K181" s="19" t="s">
        <v>70</v>
      </c>
      <c r="L181" s="19" t="s">
        <v>145</v>
      </c>
      <c r="M181" s="19" t="s">
        <v>85</v>
      </c>
      <c r="N181" s="20"/>
      <c r="O181" s="19" t="s">
        <v>152</v>
      </c>
      <c r="P181" s="19" t="s">
        <v>398</v>
      </c>
      <c r="Q181" s="19" t="s">
        <v>368</v>
      </c>
      <c r="R181" s="20"/>
      <c r="S181" s="38" t="str">
        <f>"452,5"</f>
        <v>452,5</v>
      </c>
      <c r="T181" s="20" t="str">
        <f>"558,4076"</f>
        <v>558,4076</v>
      </c>
      <c r="U181" s="18" t="s">
        <v>158</v>
      </c>
    </row>
    <row r="182" spans="1:21">
      <c r="B182" s="5" t="s">
        <v>40</v>
      </c>
    </row>
    <row r="183" spans="1:21" ht="15.95">
      <c r="A183" s="102" t="s">
        <v>670</v>
      </c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</row>
    <row r="184" spans="1:21">
      <c r="A184" s="13" t="s">
        <v>15</v>
      </c>
      <c r="B184" s="11" t="s">
        <v>671</v>
      </c>
      <c r="C184" s="11" t="s">
        <v>672</v>
      </c>
      <c r="D184" s="11" t="s">
        <v>673</v>
      </c>
      <c r="E184" s="11" t="str">
        <f>"0,6136"</f>
        <v>0,6136</v>
      </c>
      <c r="F184" s="11" t="s">
        <v>91</v>
      </c>
      <c r="G184" s="21" t="s">
        <v>392</v>
      </c>
      <c r="H184" s="21" t="s">
        <v>383</v>
      </c>
      <c r="I184" s="12" t="s">
        <v>383</v>
      </c>
      <c r="J184" s="13"/>
      <c r="K184" s="12" t="s">
        <v>204</v>
      </c>
      <c r="L184" s="12" t="s">
        <v>254</v>
      </c>
      <c r="M184" s="12" t="s">
        <v>427</v>
      </c>
      <c r="N184" s="13"/>
      <c r="O184" s="21" t="s">
        <v>383</v>
      </c>
      <c r="P184" s="12" t="s">
        <v>399</v>
      </c>
      <c r="Q184" s="12" t="s">
        <v>495</v>
      </c>
      <c r="R184" s="13"/>
      <c r="S184" s="37" t="str">
        <f>"570,0"</f>
        <v>570,0</v>
      </c>
      <c r="T184" s="13" t="str">
        <f>"349,7520"</f>
        <v>349,7520</v>
      </c>
      <c r="U184" s="11" t="s">
        <v>674</v>
      </c>
    </row>
    <row r="185" spans="1:21">
      <c r="A185" s="17" t="s">
        <v>62</v>
      </c>
      <c r="B185" s="14" t="s">
        <v>675</v>
      </c>
      <c r="C185" s="14" t="s">
        <v>676</v>
      </c>
      <c r="D185" s="14" t="s">
        <v>677</v>
      </c>
      <c r="E185" s="14" t="str">
        <f>"0,6098"</f>
        <v>0,6098</v>
      </c>
      <c r="F185" s="14" t="s">
        <v>91</v>
      </c>
      <c r="G185" s="15" t="s">
        <v>398</v>
      </c>
      <c r="H185" s="16" t="s">
        <v>368</v>
      </c>
      <c r="I185" s="16" t="s">
        <v>368</v>
      </c>
      <c r="J185" s="17"/>
      <c r="K185" s="15" t="s">
        <v>38</v>
      </c>
      <c r="L185" s="16" t="s">
        <v>49</v>
      </c>
      <c r="M185" s="16" t="s">
        <v>49</v>
      </c>
      <c r="N185" s="17"/>
      <c r="O185" s="16" t="s">
        <v>392</v>
      </c>
      <c r="P185" s="15" t="s">
        <v>374</v>
      </c>
      <c r="Q185" s="16" t="s">
        <v>436</v>
      </c>
      <c r="R185" s="17"/>
      <c r="S185" s="40" t="str">
        <f>"480,0"</f>
        <v>480,0</v>
      </c>
      <c r="T185" s="17" t="str">
        <f>"292,7040"</f>
        <v>292,7040</v>
      </c>
      <c r="U185" s="14" t="s">
        <v>678</v>
      </c>
    </row>
    <row r="186" spans="1:21">
      <c r="A186" s="17" t="s">
        <v>15</v>
      </c>
      <c r="B186" s="14" t="s">
        <v>679</v>
      </c>
      <c r="C186" s="14" t="s">
        <v>680</v>
      </c>
      <c r="D186" s="14" t="s">
        <v>681</v>
      </c>
      <c r="E186" s="14" t="str">
        <f>"0,6093"</f>
        <v>0,6093</v>
      </c>
      <c r="F186" s="14" t="s">
        <v>54</v>
      </c>
      <c r="G186" s="15" t="s">
        <v>436</v>
      </c>
      <c r="H186" s="15" t="s">
        <v>421</v>
      </c>
      <c r="I186" s="15" t="s">
        <v>682</v>
      </c>
      <c r="J186" s="17"/>
      <c r="K186" s="15" t="s">
        <v>205</v>
      </c>
      <c r="L186" s="15" t="s">
        <v>151</v>
      </c>
      <c r="M186" s="15" t="s">
        <v>427</v>
      </c>
      <c r="N186" s="17"/>
      <c r="O186" s="15" t="s">
        <v>421</v>
      </c>
      <c r="P186" s="15" t="s">
        <v>422</v>
      </c>
      <c r="Q186" s="15" t="s">
        <v>490</v>
      </c>
      <c r="R186" s="17"/>
      <c r="S186" s="40" t="str">
        <f>"650,0"</f>
        <v>650,0</v>
      </c>
      <c r="T186" s="17" t="str">
        <f>"396,0450"</f>
        <v>396,0450</v>
      </c>
      <c r="U186" s="14" t="s">
        <v>683</v>
      </c>
    </row>
    <row r="187" spans="1:21">
      <c r="A187" s="17" t="s">
        <v>62</v>
      </c>
      <c r="B187" s="14" t="s">
        <v>684</v>
      </c>
      <c r="C187" s="14" t="s">
        <v>685</v>
      </c>
      <c r="D187" s="14" t="s">
        <v>686</v>
      </c>
      <c r="E187" s="14" t="str">
        <f>"0,6113"</f>
        <v>0,6113</v>
      </c>
      <c r="F187" s="14" t="s">
        <v>687</v>
      </c>
      <c r="G187" s="15" t="s">
        <v>384</v>
      </c>
      <c r="H187" s="15" t="s">
        <v>420</v>
      </c>
      <c r="I187" s="16" t="s">
        <v>442</v>
      </c>
      <c r="J187" s="17"/>
      <c r="K187" s="15" t="s">
        <v>205</v>
      </c>
      <c r="L187" s="15" t="s">
        <v>151</v>
      </c>
      <c r="M187" s="16" t="s">
        <v>427</v>
      </c>
      <c r="N187" s="17"/>
      <c r="O187" s="15" t="s">
        <v>422</v>
      </c>
      <c r="P187" s="15" t="s">
        <v>490</v>
      </c>
      <c r="Q187" s="16" t="s">
        <v>529</v>
      </c>
      <c r="R187" s="17"/>
      <c r="S187" s="40" t="str">
        <f>"630,0"</f>
        <v>630,0</v>
      </c>
      <c r="T187" s="17" t="str">
        <f>"385,1190"</f>
        <v>385,1190</v>
      </c>
      <c r="U187" s="14" t="s">
        <v>158</v>
      </c>
    </row>
    <row r="188" spans="1:21">
      <c r="A188" s="17" t="s">
        <v>73</v>
      </c>
      <c r="B188" s="14" t="s">
        <v>688</v>
      </c>
      <c r="C188" s="14" t="s">
        <v>689</v>
      </c>
      <c r="D188" s="14" t="s">
        <v>677</v>
      </c>
      <c r="E188" s="14" t="str">
        <f>"0,6098"</f>
        <v>0,6098</v>
      </c>
      <c r="F188" s="14" t="s">
        <v>690</v>
      </c>
      <c r="G188" s="15" t="s">
        <v>383</v>
      </c>
      <c r="H188" s="15" t="s">
        <v>384</v>
      </c>
      <c r="I188" s="16" t="s">
        <v>436</v>
      </c>
      <c r="J188" s="17"/>
      <c r="K188" s="15" t="s">
        <v>205</v>
      </c>
      <c r="L188" s="15" t="s">
        <v>152</v>
      </c>
      <c r="M188" s="16" t="s">
        <v>248</v>
      </c>
      <c r="N188" s="17"/>
      <c r="O188" s="15" t="s">
        <v>421</v>
      </c>
      <c r="P188" s="15" t="s">
        <v>627</v>
      </c>
      <c r="Q188" s="16" t="s">
        <v>523</v>
      </c>
      <c r="R188" s="17"/>
      <c r="S188" s="40" t="str">
        <f>"620,0"</f>
        <v>620,0</v>
      </c>
      <c r="T188" s="17" t="str">
        <f>"378,0760"</f>
        <v>378,0760</v>
      </c>
      <c r="U188" s="14" t="s">
        <v>691</v>
      </c>
    </row>
    <row r="189" spans="1:21">
      <c r="A189" s="17" t="s">
        <v>75</v>
      </c>
      <c r="B189" s="14" t="s">
        <v>692</v>
      </c>
      <c r="C189" s="14" t="s">
        <v>693</v>
      </c>
      <c r="D189" s="14" t="s">
        <v>694</v>
      </c>
      <c r="E189" s="14" t="str">
        <f>"0,6134"</f>
        <v>0,6134</v>
      </c>
      <c r="F189" s="14" t="s">
        <v>695</v>
      </c>
      <c r="G189" s="15" t="s">
        <v>374</v>
      </c>
      <c r="H189" s="16" t="s">
        <v>384</v>
      </c>
      <c r="I189" s="15" t="s">
        <v>384</v>
      </c>
      <c r="J189" s="17"/>
      <c r="K189" s="15" t="s">
        <v>342</v>
      </c>
      <c r="L189" s="15" t="s">
        <v>254</v>
      </c>
      <c r="M189" s="16" t="s">
        <v>427</v>
      </c>
      <c r="N189" s="17"/>
      <c r="O189" s="15" t="s">
        <v>490</v>
      </c>
      <c r="P189" s="16" t="s">
        <v>523</v>
      </c>
      <c r="Q189" s="16" t="s">
        <v>491</v>
      </c>
      <c r="R189" s="17"/>
      <c r="S189" s="40" t="str">
        <f>"617,5"</f>
        <v>617,5</v>
      </c>
      <c r="T189" s="17" t="str">
        <f>"378,7745"</f>
        <v>378,7745</v>
      </c>
      <c r="U189" s="14" t="s">
        <v>158</v>
      </c>
    </row>
    <row r="190" spans="1:21">
      <c r="A190" s="17" t="s">
        <v>87</v>
      </c>
      <c r="B190" s="14" t="s">
        <v>696</v>
      </c>
      <c r="C190" s="14" t="s">
        <v>697</v>
      </c>
      <c r="D190" s="14" t="s">
        <v>698</v>
      </c>
      <c r="E190" s="14" t="str">
        <f>"0,6111"</f>
        <v>0,6111</v>
      </c>
      <c r="F190" s="14" t="s">
        <v>465</v>
      </c>
      <c r="G190" s="16" t="s">
        <v>436</v>
      </c>
      <c r="H190" s="16" t="s">
        <v>420</v>
      </c>
      <c r="I190" s="15" t="s">
        <v>420</v>
      </c>
      <c r="J190" s="17"/>
      <c r="K190" s="15" t="s">
        <v>205</v>
      </c>
      <c r="L190" s="15" t="s">
        <v>152</v>
      </c>
      <c r="M190" s="16" t="s">
        <v>347</v>
      </c>
      <c r="N190" s="17"/>
      <c r="O190" s="15" t="s">
        <v>436</v>
      </c>
      <c r="P190" s="15" t="s">
        <v>442</v>
      </c>
      <c r="Q190" s="16" t="s">
        <v>421</v>
      </c>
      <c r="R190" s="17"/>
      <c r="S190" s="40" t="str">
        <f>"610,0"</f>
        <v>610,0</v>
      </c>
      <c r="T190" s="17" t="str">
        <f>"372,7710"</f>
        <v>372,7710</v>
      </c>
      <c r="U190" s="14" t="s">
        <v>223</v>
      </c>
    </row>
    <row r="191" spans="1:21">
      <c r="A191" s="17" t="s">
        <v>168</v>
      </c>
      <c r="B191" s="14" t="s">
        <v>699</v>
      </c>
      <c r="C191" s="14" t="s">
        <v>700</v>
      </c>
      <c r="D191" s="14" t="s">
        <v>701</v>
      </c>
      <c r="E191" s="14" t="str">
        <f>"0,6155"</f>
        <v>0,6155</v>
      </c>
      <c r="F191" s="14" t="s">
        <v>102</v>
      </c>
      <c r="G191" s="15" t="s">
        <v>368</v>
      </c>
      <c r="H191" s="15" t="s">
        <v>383</v>
      </c>
      <c r="I191" s="15" t="s">
        <v>384</v>
      </c>
      <c r="J191" s="17"/>
      <c r="K191" s="16" t="s">
        <v>71</v>
      </c>
      <c r="L191" s="15" t="s">
        <v>147</v>
      </c>
      <c r="M191" s="16" t="s">
        <v>60</v>
      </c>
      <c r="N191" s="17"/>
      <c r="O191" s="15" t="s">
        <v>442</v>
      </c>
      <c r="P191" s="16" t="s">
        <v>422</v>
      </c>
      <c r="Q191" s="16" t="s">
        <v>422</v>
      </c>
      <c r="R191" s="17"/>
      <c r="S191" s="40" t="str">
        <f>"572,5"</f>
        <v>572,5</v>
      </c>
      <c r="T191" s="17" t="str">
        <f>"352,3737"</f>
        <v>352,3737</v>
      </c>
      <c r="U191" s="14" t="s">
        <v>105</v>
      </c>
    </row>
    <row r="192" spans="1:21">
      <c r="A192" s="17" t="s">
        <v>172</v>
      </c>
      <c r="B192" s="14" t="s">
        <v>702</v>
      </c>
      <c r="C192" s="14" t="s">
        <v>703</v>
      </c>
      <c r="D192" s="14" t="s">
        <v>704</v>
      </c>
      <c r="E192" s="14" t="str">
        <f>"0,6191"</f>
        <v>0,6191</v>
      </c>
      <c r="F192" s="14" t="s">
        <v>705</v>
      </c>
      <c r="G192" s="15" t="s">
        <v>58</v>
      </c>
      <c r="H192" s="15" t="s">
        <v>60</v>
      </c>
      <c r="I192" s="15" t="s">
        <v>151</v>
      </c>
      <c r="J192" s="17"/>
      <c r="K192" s="15" t="s">
        <v>56</v>
      </c>
      <c r="L192" s="15" t="s">
        <v>70</v>
      </c>
      <c r="M192" s="16" t="s">
        <v>145</v>
      </c>
      <c r="N192" s="17"/>
      <c r="O192" s="15" t="s">
        <v>392</v>
      </c>
      <c r="P192" s="16" t="s">
        <v>374</v>
      </c>
      <c r="Q192" s="15" t="s">
        <v>374</v>
      </c>
      <c r="R192" s="17"/>
      <c r="S192" s="40" t="str">
        <f>"480,0"</f>
        <v>480,0</v>
      </c>
      <c r="T192" s="17" t="str">
        <f>"297,1680"</f>
        <v>297,1680</v>
      </c>
      <c r="U192" s="14" t="s">
        <v>158</v>
      </c>
    </row>
    <row r="193" spans="1:21">
      <c r="A193" s="17" t="s">
        <v>15</v>
      </c>
      <c r="B193" s="14" t="s">
        <v>706</v>
      </c>
      <c r="C193" s="14" t="s">
        <v>707</v>
      </c>
      <c r="D193" s="14" t="s">
        <v>708</v>
      </c>
      <c r="E193" s="14" t="str">
        <f>"0,6086"</f>
        <v>0,6086</v>
      </c>
      <c r="F193" s="14" t="s">
        <v>687</v>
      </c>
      <c r="G193" s="15" t="s">
        <v>399</v>
      </c>
      <c r="H193" s="15" t="s">
        <v>384</v>
      </c>
      <c r="I193" s="15" t="s">
        <v>420</v>
      </c>
      <c r="J193" s="17"/>
      <c r="K193" s="15" t="s">
        <v>351</v>
      </c>
      <c r="L193" s="15" t="s">
        <v>368</v>
      </c>
      <c r="M193" s="15" t="s">
        <v>392</v>
      </c>
      <c r="N193" s="17"/>
      <c r="O193" s="15" t="s">
        <v>442</v>
      </c>
      <c r="P193" s="15" t="s">
        <v>459</v>
      </c>
      <c r="Q193" s="16" t="s">
        <v>422</v>
      </c>
      <c r="R193" s="17"/>
      <c r="S193" s="40" t="str">
        <f>"645,0"</f>
        <v>645,0</v>
      </c>
      <c r="T193" s="17" t="str">
        <f>"392,5470"</f>
        <v>392,5470</v>
      </c>
      <c r="U193" s="14" t="s">
        <v>158</v>
      </c>
    </row>
    <row r="194" spans="1:21">
      <c r="A194" s="17" t="s">
        <v>62</v>
      </c>
      <c r="B194" s="14" t="s">
        <v>709</v>
      </c>
      <c r="C194" s="14" t="s">
        <v>710</v>
      </c>
      <c r="D194" s="14" t="s">
        <v>711</v>
      </c>
      <c r="E194" s="14" t="str">
        <f>"0,6091"</f>
        <v>0,6091</v>
      </c>
      <c r="F194" s="14" t="s">
        <v>166</v>
      </c>
      <c r="G194" s="15" t="s">
        <v>398</v>
      </c>
      <c r="H194" s="16" t="s">
        <v>392</v>
      </c>
      <c r="I194" s="16" t="s">
        <v>392</v>
      </c>
      <c r="J194" s="17"/>
      <c r="K194" s="15" t="s">
        <v>209</v>
      </c>
      <c r="L194" s="15" t="s">
        <v>147</v>
      </c>
      <c r="M194" s="15" t="s">
        <v>58</v>
      </c>
      <c r="N194" s="17"/>
      <c r="O194" s="15" t="s">
        <v>384</v>
      </c>
      <c r="P194" s="15" t="s">
        <v>420</v>
      </c>
      <c r="Q194" s="16" t="s">
        <v>442</v>
      </c>
      <c r="R194" s="17"/>
      <c r="S194" s="40" t="str">
        <f>"540,0"</f>
        <v>540,0</v>
      </c>
      <c r="T194" s="17" t="str">
        <f>"338,1236"</f>
        <v>338,1236</v>
      </c>
      <c r="U194" s="14" t="s">
        <v>712</v>
      </c>
    </row>
    <row r="195" spans="1:21">
      <c r="A195" s="17" t="s">
        <v>15</v>
      </c>
      <c r="B195" s="14" t="s">
        <v>713</v>
      </c>
      <c r="C195" s="14" t="s">
        <v>714</v>
      </c>
      <c r="D195" s="14" t="s">
        <v>715</v>
      </c>
      <c r="E195" s="14" t="str">
        <f>"0,6217"</f>
        <v>0,6217</v>
      </c>
      <c r="F195" s="14" t="s">
        <v>594</v>
      </c>
      <c r="G195" s="15" t="s">
        <v>60</v>
      </c>
      <c r="H195" s="15" t="s">
        <v>248</v>
      </c>
      <c r="I195" s="17"/>
      <c r="J195" s="17"/>
      <c r="K195" s="15" t="s">
        <v>60</v>
      </c>
      <c r="L195" s="16" t="s">
        <v>427</v>
      </c>
      <c r="M195" s="16" t="s">
        <v>427</v>
      </c>
      <c r="N195" s="17"/>
      <c r="O195" s="15" t="s">
        <v>70</v>
      </c>
      <c r="P195" s="17"/>
      <c r="Q195" s="17"/>
      <c r="R195" s="17"/>
      <c r="S195" s="40" t="str">
        <f>"440,0"</f>
        <v>440,0</v>
      </c>
      <c r="T195" s="17" t="str">
        <f>"348,2266"</f>
        <v>348,2266</v>
      </c>
      <c r="U195" s="14" t="s">
        <v>716</v>
      </c>
    </row>
    <row r="196" spans="1:21">
      <c r="A196" s="17" t="s">
        <v>15</v>
      </c>
      <c r="B196" s="14" t="s">
        <v>717</v>
      </c>
      <c r="C196" s="14" t="s">
        <v>718</v>
      </c>
      <c r="D196" s="14" t="s">
        <v>719</v>
      </c>
      <c r="E196" s="14" t="str">
        <f>"0,6150"</f>
        <v>0,6150</v>
      </c>
      <c r="F196" s="14" t="s">
        <v>720</v>
      </c>
      <c r="G196" s="16" t="s">
        <v>392</v>
      </c>
      <c r="H196" s="15" t="s">
        <v>392</v>
      </c>
      <c r="I196" s="15" t="s">
        <v>374</v>
      </c>
      <c r="J196" s="17"/>
      <c r="K196" s="15" t="s">
        <v>49</v>
      </c>
      <c r="L196" s="16" t="s">
        <v>69</v>
      </c>
      <c r="M196" s="16" t="s">
        <v>69</v>
      </c>
      <c r="N196" s="17"/>
      <c r="O196" s="15" t="s">
        <v>436</v>
      </c>
      <c r="P196" s="15" t="s">
        <v>421</v>
      </c>
      <c r="Q196" s="15" t="s">
        <v>682</v>
      </c>
      <c r="R196" s="17"/>
      <c r="S196" s="40" t="str">
        <f>"542,5"</f>
        <v>542,5</v>
      </c>
      <c r="T196" s="17" t="str">
        <f>"511,4663"</f>
        <v>511,4663</v>
      </c>
      <c r="U196" s="14" t="s">
        <v>158</v>
      </c>
    </row>
    <row r="197" spans="1:21">
      <c r="A197" s="20" t="s">
        <v>62</v>
      </c>
      <c r="B197" s="18" t="s">
        <v>721</v>
      </c>
      <c r="C197" s="18" t="s">
        <v>722</v>
      </c>
      <c r="D197" s="18" t="s">
        <v>723</v>
      </c>
      <c r="E197" s="18" t="str">
        <f>"0,6177"</f>
        <v>0,6177</v>
      </c>
      <c r="F197" s="18" t="s">
        <v>594</v>
      </c>
      <c r="G197" s="19" t="s">
        <v>58</v>
      </c>
      <c r="H197" s="19" t="s">
        <v>151</v>
      </c>
      <c r="I197" s="22" t="s">
        <v>398</v>
      </c>
      <c r="J197" s="20"/>
      <c r="K197" s="19" t="s">
        <v>56</v>
      </c>
      <c r="L197" s="22" t="s">
        <v>145</v>
      </c>
      <c r="M197" s="19" t="s">
        <v>145</v>
      </c>
      <c r="N197" s="20"/>
      <c r="O197" s="19" t="s">
        <v>60</v>
      </c>
      <c r="P197" s="22" t="s">
        <v>248</v>
      </c>
      <c r="Q197" s="19" t="s">
        <v>248</v>
      </c>
      <c r="R197" s="20"/>
      <c r="S197" s="38" t="str">
        <f>"455,0"</f>
        <v>455,0</v>
      </c>
      <c r="T197" s="20" t="str">
        <f>"413,1486"</f>
        <v>413,1486</v>
      </c>
      <c r="U197" s="18" t="s">
        <v>158</v>
      </c>
    </row>
    <row r="198" spans="1:21">
      <c r="B198" s="5" t="s">
        <v>40</v>
      </c>
    </row>
    <row r="199" spans="1:21" ht="15.95">
      <c r="A199" s="102" t="s">
        <v>724</v>
      </c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</row>
    <row r="200" spans="1:21">
      <c r="A200" s="13" t="s">
        <v>15</v>
      </c>
      <c r="B200" s="11" t="s">
        <v>725</v>
      </c>
      <c r="C200" s="11" t="s">
        <v>726</v>
      </c>
      <c r="D200" s="11" t="s">
        <v>727</v>
      </c>
      <c r="E200" s="11" t="str">
        <f>"0,6046"</f>
        <v>0,6046</v>
      </c>
      <c r="F200" s="11" t="s">
        <v>728</v>
      </c>
      <c r="G200" s="12" t="s">
        <v>398</v>
      </c>
      <c r="H200" s="21" t="s">
        <v>392</v>
      </c>
      <c r="I200" s="21" t="s">
        <v>374</v>
      </c>
      <c r="J200" s="13"/>
      <c r="K200" s="12" t="s">
        <v>59</v>
      </c>
      <c r="L200" s="21" t="s">
        <v>204</v>
      </c>
      <c r="M200" s="21" t="s">
        <v>204</v>
      </c>
      <c r="N200" s="13"/>
      <c r="O200" s="12" t="s">
        <v>374</v>
      </c>
      <c r="P200" s="21" t="s">
        <v>384</v>
      </c>
      <c r="Q200" s="21" t="s">
        <v>384</v>
      </c>
      <c r="R200" s="13"/>
      <c r="S200" s="37" t="str">
        <f>"525,0"</f>
        <v>525,0</v>
      </c>
      <c r="T200" s="13" t="str">
        <f>"317,4150"</f>
        <v>317,4150</v>
      </c>
      <c r="U200" s="11" t="s">
        <v>729</v>
      </c>
    </row>
    <row r="201" spans="1:21">
      <c r="A201" s="17" t="s">
        <v>15</v>
      </c>
      <c r="B201" s="14" t="s">
        <v>730</v>
      </c>
      <c r="C201" s="14" t="s">
        <v>731</v>
      </c>
      <c r="D201" s="14" t="s">
        <v>732</v>
      </c>
      <c r="E201" s="14" t="str">
        <f>"0,5890"</f>
        <v>0,5890</v>
      </c>
      <c r="F201" s="14" t="s">
        <v>222</v>
      </c>
      <c r="G201" s="16" t="s">
        <v>523</v>
      </c>
      <c r="H201" s="15" t="s">
        <v>523</v>
      </c>
      <c r="I201" s="15" t="s">
        <v>640</v>
      </c>
      <c r="J201" s="17"/>
      <c r="K201" s="15" t="s">
        <v>351</v>
      </c>
      <c r="L201" s="15" t="s">
        <v>398</v>
      </c>
      <c r="M201" s="15" t="s">
        <v>458</v>
      </c>
      <c r="N201" s="17"/>
      <c r="O201" s="15" t="s">
        <v>529</v>
      </c>
      <c r="P201" s="15" t="s">
        <v>491</v>
      </c>
      <c r="Q201" s="15" t="s">
        <v>640</v>
      </c>
      <c r="R201" s="17"/>
      <c r="S201" s="40" t="str">
        <f>"722,5"</f>
        <v>722,5</v>
      </c>
      <c r="T201" s="17" t="str">
        <f>"425,5525"</f>
        <v>425,5525</v>
      </c>
      <c r="U201" s="14" t="s">
        <v>733</v>
      </c>
    </row>
    <row r="202" spans="1:21">
      <c r="A202" s="17" t="s">
        <v>62</v>
      </c>
      <c r="B202" s="14" t="s">
        <v>734</v>
      </c>
      <c r="C202" s="14" t="s">
        <v>735</v>
      </c>
      <c r="D202" s="14" t="s">
        <v>736</v>
      </c>
      <c r="E202" s="14" t="str">
        <f>"0,6050"</f>
        <v>0,6050</v>
      </c>
      <c r="F202" s="14" t="s">
        <v>737</v>
      </c>
      <c r="G202" s="15" t="s">
        <v>420</v>
      </c>
      <c r="H202" s="15" t="s">
        <v>421</v>
      </c>
      <c r="I202" s="15" t="s">
        <v>422</v>
      </c>
      <c r="J202" s="17"/>
      <c r="K202" s="15" t="s">
        <v>347</v>
      </c>
      <c r="L202" s="15" t="s">
        <v>351</v>
      </c>
      <c r="M202" s="15" t="s">
        <v>398</v>
      </c>
      <c r="N202" s="17"/>
      <c r="O202" s="15" t="s">
        <v>490</v>
      </c>
      <c r="P202" s="15" t="s">
        <v>640</v>
      </c>
      <c r="Q202" s="16" t="s">
        <v>738</v>
      </c>
      <c r="R202" s="17"/>
      <c r="S202" s="40" t="str">
        <f>"690,0"</f>
        <v>690,0</v>
      </c>
      <c r="T202" s="17" t="str">
        <f>"417,4500"</f>
        <v>417,4500</v>
      </c>
      <c r="U202" s="14" t="s">
        <v>739</v>
      </c>
    </row>
    <row r="203" spans="1:21">
      <c r="A203" s="17" t="s">
        <v>73</v>
      </c>
      <c r="B203" s="14" t="s">
        <v>740</v>
      </c>
      <c r="C203" s="14" t="s">
        <v>741</v>
      </c>
      <c r="D203" s="14" t="s">
        <v>742</v>
      </c>
      <c r="E203" s="14" t="str">
        <f>"0,5923"</f>
        <v>0,5923</v>
      </c>
      <c r="F203" s="14" t="s">
        <v>102</v>
      </c>
      <c r="G203" s="16" t="s">
        <v>455</v>
      </c>
      <c r="H203" s="15" t="s">
        <v>455</v>
      </c>
      <c r="I203" s="16" t="s">
        <v>420</v>
      </c>
      <c r="J203" s="17"/>
      <c r="K203" s="15" t="s">
        <v>458</v>
      </c>
      <c r="L203" s="15" t="s">
        <v>383</v>
      </c>
      <c r="M203" s="16" t="s">
        <v>743</v>
      </c>
      <c r="N203" s="17"/>
      <c r="O203" s="15" t="s">
        <v>744</v>
      </c>
      <c r="P203" s="15" t="s">
        <v>745</v>
      </c>
      <c r="Q203" s="16" t="s">
        <v>746</v>
      </c>
      <c r="R203" s="17"/>
      <c r="S203" s="40" t="str">
        <f>"687,5"</f>
        <v>687,5</v>
      </c>
      <c r="T203" s="17" t="str">
        <f>"407,2062"</f>
        <v>407,2062</v>
      </c>
      <c r="U203" s="14" t="s">
        <v>105</v>
      </c>
    </row>
    <row r="204" spans="1:21">
      <c r="A204" s="17" t="s">
        <v>75</v>
      </c>
      <c r="B204" s="14" t="s">
        <v>747</v>
      </c>
      <c r="C204" s="14" t="s">
        <v>748</v>
      </c>
      <c r="D204" s="14" t="s">
        <v>749</v>
      </c>
      <c r="E204" s="14" t="str">
        <f>"0,5932"</f>
        <v>0,5932</v>
      </c>
      <c r="F204" s="14" t="s">
        <v>203</v>
      </c>
      <c r="G204" s="15" t="s">
        <v>384</v>
      </c>
      <c r="H204" s="15" t="s">
        <v>421</v>
      </c>
      <c r="I204" s="15" t="s">
        <v>459</v>
      </c>
      <c r="J204" s="17"/>
      <c r="K204" s="15" t="s">
        <v>248</v>
      </c>
      <c r="L204" s="15" t="s">
        <v>398</v>
      </c>
      <c r="M204" s="16" t="s">
        <v>368</v>
      </c>
      <c r="N204" s="17"/>
      <c r="O204" s="15" t="s">
        <v>459</v>
      </c>
      <c r="P204" s="15" t="s">
        <v>529</v>
      </c>
      <c r="Q204" s="17"/>
      <c r="R204" s="17"/>
      <c r="S204" s="40" t="str">
        <f>"670,0"</f>
        <v>670,0</v>
      </c>
      <c r="T204" s="17" t="str">
        <f>"397,4440"</f>
        <v>397,4440</v>
      </c>
      <c r="U204" s="14" t="s">
        <v>750</v>
      </c>
    </row>
    <row r="205" spans="1:21">
      <c r="A205" s="17" t="s">
        <v>87</v>
      </c>
      <c r="B205" s="14" t="s">
        <v>751</v>
      </c>
      <c r="C205" s="14" t="s">
        <v>752</v>
      </c>
      <c r="D205" s="14" t="s">
        <v>753</v>
      </c>
      <c r="E205" s="14" t="str">
        <f>"0,5921"</f>
        <v>0,5921</v>
      </c>
      <c r="F205" s="14" t="s">
        <v>91</v>
      </c>
      <c r="G205" s="15" t="s">
        <v>459</v>
      </c>
      <c r="H205" s="16" t="s">
        <v>627</v>
      </c>
      <c r="I205" s="16" t="s">
        <v>627</v>
      </c>
      <c r="J205" s="17"/>
      <c r="K205" s="15" t="s">
        <v>205</v>
      </c>
      <c r="L205" s="15" t="s">
        <v>151</v>
      </c>
      <c r="M205" s="16" t="s">
        <v>427</v>
      </c>
      <c r="N205" s="17"/>
      <c r="O205" s="15" t="s">
        <v>523</v>
      </c>
      <c r="P205" s="15" t="s">
        <v>744</v>
      </c>
      <c r="Q205" s="16" t="s">
        <v>754</v>
      </c>
      <c r="R205" s="17"/>
      <c r="S205" s="40" t="str">
        <f>"667,5"</f>
        <v>667,5</v>
      </c>
      <c r="T205" s="17" t="str">
        <f>"395,2268"</f>
        <v>395,2268</v>
      </c>
      <c r="U205" s="14" t="s">
        <v>213</v>
      </c>
    </row>
    <row r="206" spans="1:21">
      <c r="A206" s="17" t="s">
        <v>168</v>
      </c>
      <c r="B206" s="14" t="s">
        <v>755</v>
      </c>
      <c r="C206" s="14" t="s">
        <v>756</v>
      </c>
      <c r="D206" s="14" t="s">
        <v>757</v>
      </c>
      <c r="E206" s="14" t="str">
        <f>"0,6053"</f>
        <v>0,6053</v>
      </c>
      <c r="F206" s="14" t="s">
        <v>758</v>
      </c>
      <c r="G206" s="15" t="s">
        <v>374</v>
      </c>
      <c r="H206" s="15" t="s">
        <v>420</v>
      </c>
      <c r="I206" s="16" t="s">
        <v>421</v>
      </c>
      <c r="J206" s="17"/>
      <c r="K206" s="15" t="s">
        <v>59</v>
      </c>
      <c r="L206" s="15" t="s">
        <v>205</v>
      </c>
      <c r="M206" s="15" t="s">
        <v>151</v>
      </c>
      <c r="N206" s="17"/>
      <c r="O206" s="15" t="s">
        <v>523</v>
      </c>
      <c r="P206" s="15" t="s">
        <v>738</v>
      </c>
      <c r="Q206" s="17"/>
      <c r="R206" s="17"/>
      <c r="S206" s="40" t="str">
        <f>"660,0"</f>
        <v>660,0</v>
      </c>
      <c r="T206" s="17" t="str">
        <f>"399,4980"</f>
        <v>399,4980</v>
      </c>
      <c r="U206" s="14" t="s">
        <v>759</v>
      </c>
    </row>
    <row r="207" spans="1:21">
      <c r="A207" s="17" t="s">
        <v>172</v>
      </c>
      <c r="B207" s="14" t="s">
        <v>760</v>
      </c>
      <c r="C207" s="14" t="s">
        <v>761</v>
      </c>
      <c r="D207" s="14" t="s">
        <v>762</v>
      </c>
      <c r="E207" s="14" t="str">
        <f>"0,5912"</f>
        <v>0,5912</v>
      </c>
      <c r="F207" s="14" t="s">
        <v>91</v>
      </c>
      <c r="G207" s="16" t="s">
        <v>420</v>
      </c>
      <c r="H207" s="15" t="s">
        <v>420</v>
      </c>
      <c r="I207" s="16" t="s">
        <v>459</v>
      </c>
      <c r="J207" s="17"/>
      <c r="K207" s="15" t="s">
        <v>59</v>
      </c>
      <c r="L207" s="15" t="s">
        <v>60</v>
      </c>
      <c r="M207" s="15" t="s">
        <v>205</v>
      </c>
      <c r="N207" s="17"/>
      <c r="O207" s="15" t="s">
        <v>490</v>
      </c>
      <c r="P207" s="15" t="s">
        <v>491</v>
      </c>
      <c r="Q207" s="16" t="s">
        <v>745</v>
      </c>
      <c r="R207" s="17"/>
      <c r="S207" s="40" t="str">
        <f>"640,0"</f>
        <v>640,0</v>
      </c>
      <c r="T207" s="17" t="str">
        <f>"378,3680"</f>
        <v>378,3680</v>
      </c>
      <c r="U207" s="14" t="s">
        <v>763</v>
      </c>
    </row>
    <row r="208" spans="1:21">
      <c r="A208" s="17" t="s">
        <v>178</v>
      </c>
      <c r="B208" s="14" t="s">
        <v>764</v>
      </c>
      <c r="C208" s="14" t="s">
        <v>765</v>
      </c>
      <c r="D208" s="14" t="s">
        <v>766</v>
      </c>
      <c r="E208" s="14" t="str">
        <f>"0,5914"</f>
        <v>0,5914</v>
      </c>
      <c r="F208" s="14" t="s">
        <v>758</v>
      </c>
      <c r="G208" s="15" t="s">
        <v>420</v>
      </c>
      <c r="H208" s="16" t="s">
        <v>422</v>
      </c>
      <c r="I208" s="15" t="s">
        <v>422</v>
      </c>
      <c r="J208" s="17"/>
      <c r="K208" s="15" t="s">
        <v>58</v>
      </c>
      <c r="L208" s="15" t="s">
        <v>59</v>
      </c>
      <c r="M208" s="16" t="s">
        <v>60</v>
      </c>
      <c r="N208" s="17"/>
      <c r="O208" s="15" t="s">
        <v>422</v>
      </c>
      <c r="P208" s="15" t="s">
        <v>490</v>
      </c>
      <c r="Q208" s="16" t="s">
        <v>529</v>
      </c>
      <c r="R208" s="17"/>
      <c r="S208" s="40" t="str">
        <f>"635,0"</f>
        <v>635,0</v>
      </c>
      <c r="T208" s="17" t="str">
        <f>"375,5390"</f>
        <v>375,5390</v>
      </c>
      <c r="U208" s="14" t="s">
        <v>759</v>
      </c>
    </row>
    <row r="209" spans="1:21">
      <c r="A209" s="17" t="s">
        <v>183</v>
      </c>
      <c r="B209" s="14" t="s">
        <v>767</v>
      </c>
      <c r="C209" s="14" t="s">
        <v>768</v>
      </c>
      <c r="D209" s="14" t="s">
        <v>769</v>
      </c>
      <c r="E209" s="14" t="str">
        <f>"0,5954"</f>
        <v>0,5954</v>
      </c>
      <c r="F209" s="14" t="s">
        <v>91</v>
      </c>
      <c r="G209" s="15" t="s">
        <v>392</v>
      </c>
      <c r="H209" s="15" t="s">
        <v>374</v>
      </c>
      <c r="I209" s="15" t="s">
        <v>384</v>
      </c>
      <c r="J209" s="17"/>
      <c r="K209" s="15" t="s">
        <v>58</v>
      </c>
      <c r="L209" s="15" t="s">
        <v>59</v>
      </c>
      <c r="M209" s="15" t="s">
        <v>60</v>
      </c>
      <c r="N209" s="17"/>
      <c r="O209" s="16" t="s">
        <v>421</v>
      </c>
      <c r="P209" s="15" t="s">
        <v>421</v>
      </c>
      <c r="Q209" s="15" t="s">
        <v>422</v>
      </c>
      <c r="R209" s="17"/>
      <c r="S209" s="40" t="str">
        <f>"600,0"</f>
        <v>600,0</v>
      </c>
      <c r="T209" s="17" t="str">
        <f>"357,2400"</f>
        <v>357,2400</v>
      </c>
      <c r="U209" s="14" t="s">
        <v>158</v>
      </c>
    </row>
    <row r="210" spans="1:21">
      <c r="A210" s="17" t="s">
        <v>92</v>
      </c>
      <c r="B210" s="14" t="s">
        <v>770</v>
      </c>
      <c r="C210" s="14" t="s">
        <v>771</v>
      </c>
      <c r="D210" s="14" t="s">
        <v>772</v>
      </c>
      <c r="E210" s="14" t="str">
        <f>"0,6074"</f>
        <v>0,6074</v>
      </c>
      <c r="F210" s="14" t="s">
        <v>350</v>
      </c>
      <c r="G210" s="16" t="s">
        <v>60</v>
      </c>
      <c r="H210" s="16" t="s">
        <v>151</v>
      </c>
      <c r="I210" s="16" t="s">
        <v>151</v>
      </c>
      <c r="J210" s="17"/>
      <c r="K210" s="17"/>
      <c r="L210" s="17"/>
      <c r="M210" s="17"/>
      <c r="N210" s="17"/>
      <c r="O210" s="17"/>
      <c r="P210" s="17"/>
      <c r="Q210" s="17"/>
      <c r="R210" s="17"/>
      <c r="S210" s="40">
        <v>0</v>
      </c>
      <c r="T210" s="17" t="str">
        <f>"0,0000"</f>
        <v>0,0000</v>
      </c>
      <c r="U210" s="14" t="s">
        <v>158</v>
      </c>
    </row>
    <row r="211" spans="1:21">
      <c r="A211" s="17" t="s">
        <v>15</v>
      </c>
      <c r="B211" s="14" t="s">
        <v>751</v>
      </c>
      <c r="C211" s="14" t="s">
        <v>773</v>
      </c>
      <c r="D211" s="14" t="s">
        <v>753</v>
      </c>
      <c r="E211" s="14" t="str">
        <f>"0,5921"</f>
        <v>0,5921</v>
      </c>
      <c r="F211" s="14" t="s">
        <v>91</v>
      </c>
      <c r="G211" s="15" t="s">
        <v>459</v>
      </c>
      <c r="H211" s="16" t="s">
        <v>627</v>
      </c>
      <c r="I211" s="16" t="s">
        <v>627</v>
      </c>
      <c r="J211" s="17"/>
      <c r="K211" s="15" t="s">
        <v>205</v>
      </c>
      <c r="L211" s="15" t="s">
        <v>151</v>
      </c>
      <c r="M211" s="16" t="s">
        <v>427</v>
      </c>
      <c r="N211" s="17"/>
      <c r="O211" s="15" t="s">
        <v>523</v>
      </c>
      <c r="P211" s="15" t="s">
        <v>744</v>
      </c>
      <c r="Q211" s="16" t="s">
        <v>754</v>
      </c>
      <c r="R211" s="17"/>
      <c r="S211" s="40" t="str">
        <f>"667,5"</f>
        <v>667,5</v>
      </c>
      <c r="T211" s="17" t="str">
        <f>"395,2268"</f>
        <v>395,2268</v>
      </c>
      <c r="U211" s="14" t="s">
        <v>213</v>
      </c>
    </row>
    <row r="212" spans="1:21">
      <c r="A212" s="17" t="s">
        <v>62</v>
      </c>
      <c r="B212" s="14" t="s">
        <v>774</v>
      </c>
      <c r="C212" s="14" t="s">
        <v>775</v>
      </c>
      <c r="D212" s="14" t="s">
        <v>776</v>
      </c>
      <c r="E212" s="14" t="str">
        <f>"0,5910"</f>
        <v>0,5910</v>
      </c>
      <c r="F212" s="14" t="s">
        <v>602</v>
      </c>
      <c r="G212" s="15" t="s">
        <v>420</v>
      </c>
      <c r="H212" s="15" t="s">
        <v>421</v>
      </c>
      <c r="I212" s="16" t="s">
        <v>422</v>
      </c>
      <c r="J212" s="17"/>
      <c r="K212" s="15" t="s">
        <v>60</v>
      </c>
      <c r="L212" s="15" t="s">
        <v>151</v>
      </c>
      <c r="M212" s="15" t="s">
        <v>248</v>
      </c>
      <c r="N212" s="17"/>
      <c r="O212" s="16" t="s">
        <v>374</v>
      </c>
      <c r="P212" s="15" t="s">
        <v>374</v>
      </c>
      <c r="Q212" s="16" t="s">
        <v>384</v>
      </c>
      <c r="R212" s="17"/>
      <c r="S212" s="40" t="str">
        <f>"600,0"</f>
        <v>600,0</v>
      </c>
      <c r="T212" s="17" t="str">
        <f>"370,2024"</f>
        <v>370,2024</v>
      </c>
      <c r="U212" s="14" t="s">
        <v>158</v>
      </c>
    </row>
    <row r="213" spans="1:21">
      <c r="A213" s="17" t="s">
        <v>15</v>
      </c>
      <c r="B213" s="14" t="s">
        <v>777</v>
      </c>
      <c r="C213" s="14" t="s">
        <v>778</v>
      </c>
      <c r="D213" s="14" t="s">
        <v>779</v>
      </c>
      <c r="E213" s="14" t="str">
        <f>"0,5919"</f>
        <v>0,5919</v>
      </c>
      <c r="F213" s="14" t="s">
        <v>594</v>
      </c>
      <c r="G213" s="15" t="s">
        <v>56</v>
      </c>
      <c r="H213" s="16" t="s">
        <v>209</v>
      </c>
      <c r="I213" s="16" t="s">
        <v>58</v>
      </c>
      <c r="J213" s="17"/>
      <c r="K213" s="15" t="s">
        <v>69</v>
      </c>
      <c r="L213" s="15" t="s">
        <v>70</v>
      </c>
      <c r="M213" s="15" t="s">
        <v>85</v>
      </c>
      <c r="N213" s="17"/>
      <c r="O213" s="15" t="s">
        <v>70</v>
      </c>
      <c r="P213" s="15" t="s">
        <v>209</v>
      </c>
      <c r="Q213" s="15" t="s">
        <v>60</v>
      </c>
      <c r="R213" s="17"/>
      <c r="S213" s="40" t="str">
        <f>"392,5"</f>
        <v>392,5</v>
      </c>
      <c r="T213" s="17" t="str">
        <f>"280,4111"</f>
        <v>280,4111</v>
      </c>
      <c r="U213" s="14" t="s">
        <v>716</v>
      </c>
    </row>
    <row r="214" spans="1:21">
      <c r="A214" s="20" t="s">
        <v>15</v>
      </c>
      <c r="B214" s="18" t="s">
        <v>780</v>
      </c>
      <c r="C214" s="18" t="s">
        <v>781</v>
      </c>
      <c r="D214" s="18" t="s">
        <v>782</v>
      </c>
      <c r="E214" s="18" t="str">
        <f>"0,6019"</f>
        <v>0,6019</v>
      </c>
      <c r="F214" s="18" t="s">
        <v>594</v>
      </c>
      <c r="G214" s="22" t="s">
        <v>351</v>
      </c>
      <c r="H214" s="19" t="s">
        <v>351</v>
      </c>
      <c r="I214" s="22" t="s">
        <v>392</v>
      </c>
      <c r="J214" s="20"/>
      <c r="K214" s="19" t="s">
        <v>69</v>
      </c>
      <c r="L214" s="19" t="s">
        <v>70</v>
      </c>
      <c r="M214" s="19" t="s">
        <v>145</v>
      </c>
      <c r="N214" s="20"/>
      <c r="O214" s="19" t="s">
        <v>399</v>
      </c>
      <c r="P214" s="19" t="s">
        <v>420</v>
      </c>
      <c r="Q214" s="22" t="s">
        <v>507</v>
      </c>
      <c r="R214" s="20"/>
      <c r="S214" s="38" t="str">
        <f>"520,0"</f>
        <v>520,0</v>
      </c>
      <c r="T214" s="20" t="str">
        <f>"431,9234"</f>
        <v>431,9234</v>
      </c>
      <c r="U214" s="18" t="s">
        <v>597</v>
      </c>
    </row>
    <row r="215" spans="1:21">
      <c r="B215" s="5" t="s">
        <v>40</v>
      </c>
    </row>
    <row r="216" spans="1:21" ht="15.95">
      <c r="A216" s="102" t="s">
        <v>783</v>
      </c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</row>
    <row r="217" spans="1:21">
      <c r="A217" s="13" t="s">
        <v>15</v>
      </c>
      <c r="B217" s="11" t="s">
        <v>784</v>
      </c>
      <c r="C217" s="11" t="s">
        <v>785</v>
      </c>
      <c r="D217" s="11" t="s">
        <v>786</v>
      </c>
      <c r="E217" s="11" t="str">
        <f>"0,5880"</f>
        <v>0,5880</v>
      </c>
      <c r="F217" s="11" t="s">
        <v>787</v>
      </c>
      <c r="G217" s="21" t="s">
        <v>374</v>
      </c>
      <c r="H217" s="21" t="s">
        <v>374</v>
      </c>
      <c r="I217" s="12" t="s">
        <v>374</v>
      </c>
      <c r="J217" s="13"/>
      <c r="K217" s="12" t="s">
        <v>71</v>
      </c>
      <c r="L217" s="12" t="s">
        <v>58</v>
      </c>
      <c r="M217" s="12" t="s">
        <v>60</v>
      </c>
      <c r="N217" s="13"/>
      <c r="O217" s="12" t="s">
        <v>422</v>
      </c>
      <c r="P217" s="12" t="s">
        <v>490</v>
      </c>
      <c r="Q217" s="12" t="s">
        <v>523</v>
      </c>
      <c r="R217" s="13"/>
      <c r="S217" s="37" t="str">
        <f>"610,0"</f>
        <v>610,0</v>
      </c>
      <c r="T217" s="13" t="str">
        <f>"358,6800"</f>
        <v>358,6800</v>
      </c>
      <c r="U217" s="11" t="s">
        <v>661</v>
      </c>
    </row>
    <row r="218" spans="1:21">
      <c r="A218" s="17" t="s">
        <v>62</v>
      </c>
      <c r="B218" s="14" t="s">
        <v>788</v>
      </c>
      <c r="C218" s="14" t="s">
        <v>789</v>
      </c>
      <c r="D218" s="14" t="s">
        <v>790</v>
      </c>
      <c r="E218" s="14" t="str">
        <f>"0,5725"</f>
        <v>0,5725</v>
      </c>
      <c r="F218" s="14" t="s">
        <v>91</v>
      </c>
      <c r="G218" s="15" t="s">
        <v>351</v>
      </c>
      <c r="H218" s="16" t="s">
        <v>398</v>
      </c>
      <c r="I218" s="16" t="s">
        <v>398</v>
      </c>
      <c r="J218" s="17"/>
      <c r="K218" s="15" t="s">
        <v>58</v>
      </c>
      <c r="L218" s="15" t="s">
        <v>59</v>
      </c>
      <c r="M218" s="15" t="s">
        <v>60</v>
      </c>
      <c r="N218" s="17"/>
      <c r="O218" s="15" t="s">
        <v>384</v>
      </c>
      <c r="P218" s="15" t="s">
        <v>420</v>
      </c>
      <c r="Q218" s="15" t="s">
        <v>682</v>
      </c>
      <c r="R218" s="17"/>
      <c r="S218" s="40" t="str">
        <f>"562,5"</f>
        <v>562,5</v>
      </c>
      <c r="T218" s="17" t="str">
        <f>"322,0312"</f>
        <v>322,0312</v>
      </c>
      <c r="U218" s="14" t="s">
        <v>158</v>
      </c>
    </row>
    <row r="219" spans="1:21">
      <c r="A219" s="20" t="s">
        <v>73</v>
      </c>
      <c r="B219" s="18" t="s">
        <v>791</v>
      </c>
      <c r="C219" s="18" t="s">
        <v>792</v>
      </c>
      <c r="D219" s="18" t="s">
        <v>793</v>
      </c>
      <c r="E219" s="18" t="str">
        <f>"0,5878"</f>
        <v>0,5878</v>
      </c>
      <c r="F219" s="18" t="s">
        <v>644</v>
      </c>
      <c r="G219" s="19" t="s">
        <v>205</v>
      </c>
      <c r="H219" s="19" t="s">
        <v>152</v>
      </c>
      <c r="I219" s="19" t="s">
        <v>550</v>
      </c>
      <c r="J219" s="20"/>
      <c r="K219" s="19" t="s">
        <v>56</v>
      </c>
      <c r="L219" s="19" t="s">
        <v>162</v>
      </c>
      <c r="M219" s="19" t="s">
        <v>71</v>
      </c>
      <c r="N219" s="20"/>
      <c r="O219" s="19" t="s">
        <v>351</v>
      </c>
      <c r="P219" s="19" t="s">
        <v>453</v>
      </c>
      <c r="Q219" s="19" t="s">
        <v>383</v>
      </c>
      <c r="R219" s="20"/>
      <c r="S219" s="38" t="str">
        <f>"497,5"</f>
        <v>497,5</v>
      </c>
      <c r="T219" s="20" t="str">
        <f>"292,4305"</f>
        <v>292,4305</v>
      </c>
      <c r="U219" s="18" t="s">
        <v>646</v>
      </c>
    </row>
    <row r="220" spans="1:21">
      <c r="B220" s="5" t="s">
        <v>40</v>
      </c>
    </row>
    <row r="221" spans="1:21" ht="15.95">
      <c r="A221" s="102" t="s">
        <v>794</v>
      </c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</row>
    <row r="222" spans="1:21">
      <c r="A222" s="13" t="s">
        <v>15</v>
      </c>
      <c r="B222" s="11" t="s">
        <v>795</v>
      </c>
      <c r="C222" s="11" t="s">
        <v>796</v>
      </c>
      <c r="D222" s="11" t="s">
        <v>797</v>
      </c>
      <c r="E222" s="11" t="str">
        <f>"0,5669"</f>
        <v>0,5669</v>
      </c>
      <c r="F222" s="11" t="s">
        <v>798</v>
      </c>
      <c r="G222" s="21" t="s">
        <v>442</v>
      </c>
      <c r="H222" s="21" t="s">
        <v>442</v>
      </c>
      <c r="I222" s="12" t="s">
        <v>442</v>
      </c>
      <c r="J222" s="13"/>
      <c r="K222" s="12" t="s">
        <v>58</v>
      </c>
      <c r="L222" s="12" t="s">
        <v>60</v>
      </c>
      <c r="M222" s="21" t="s">
        <v>205</v>
      </c>
      <c r="N222" s="13"/>
      <c r="O222" s="12" t="s">
        <v>459</v>
      </c>
      <c r="P222" s="12" t="s">
        <v>627</v>
      </c>
      <c r="Q222" s="13"/>
      <c r="R222" s="13"/>
      <c r="S222" s="37" t="str">
        <f>"620,0"</f>
        <v>620,0</v>
      </c>
      <c r="T222" s="13" t="str">
        <f>"351,4780"</f>
        <v>351,4780</v>
      </c>
      <c r="U222" s="11" t="s">
        <v>799</v>
      </c>
    </row>
    <row r="223" spans="1:21">
      <c r="A223" s="17" t="s">
        <v>15</v>
      </c>
      <c r="B223" s="14" t="s">
        <v>800</v>
      </c>
      <c r="C223" s="14" t="s">
        <v>801</v>
      </c>
      <c r="D223" s="14" t="s">
        <v>802</v>
      </c>
      <c r="E223" s="14" t="str">
        <f>"0,5662"</f>
        <v>0,5662</v>
      </c>
      <c r="F223" s="14" t="s">
        <v>690</v>
      </c>
      <c r="G223" s="15" t="s">
        <v>523</v>
      </c>
      <c r="H223" s="15" t="s">
        <v>754</v>
      </c>
      <c r="I223" s="15" t="s">
        <v>803</v>
      </c>
      <c r="J223" s="17"/>
      <c r="K223" s="15" t="s">
        <v>368</v>
      </c>
      <c r="L223" s="16" t="s">
        <v>506</v>
      </c>
      <c r="M223" s="16" t="s">
        <v>374</v>
      </c>
      <c r="N223" s="17"/>
      <c r="O223" s="15" t="s">
        <v>804</v>
      </c>
      <c r="P223" s="16" t="s">
        <v>805</v>
      </c>
      <c r="Q223" s="15" t="s">
        <v>805</v>
      </c>
      <c r="R223" s="17"/>
      <c r="S223" s="40" t="str">
        <f>"790,0"</f>
        <v>790,0</v>
      </c>
      <c r="T223" s="17" t="str">
        <f>"447,2980"</f>
        <v>447,2980</v>
      </c>
      <c r="U223" s="14" t="s">
        <v>158</v>
      </c>
    </row>
    <row r="224" spans="1:21">
      <c r="A224" s="17" t="s">
        <v>62</v>
      </c>
      <c r="B224" s="14" t="s">
        <v>806</v>
      </c>
      <c r="C224" s="14" t="s">
        <v>807</v>
      </c>
      <c r="D224" s="14" t="s">
        <v>808</v>
      </c>
      <c r="E224" s="14" t="str">
        <f>"0,5616"</f>
        <v>0,5616</v>
      </c>
      <c r="F224" s="14" t="s">
        <v>809</v>
      </c>
      <c r="G224" s="16" t="s">
        <v>420</v>
      </c>
      <c r="H224" s="15" t="s">
        <v>420</v>
      </c>
      <c r="I224" s="15" t="s">
        <v>421</v>
      </c>
      <c r="J224" s="17"/>
      <c r="K224" s="15" t="s">
        <v>151</v>
      </c>
      <c r="L224" s="15" t="s">
        <v>152</v>
      </c>
      <c r="M224" s="16" t="s">
        <v>248</v>
      </c>
      <c r="N224" s="17"/>
      <c r="O224" s="15" t="s">
        <v>459</v>
      </c>
      <c r="P224" s="15" t="s">
        <v>627</v>
      </c>
      <c r="Q224" s="16" t="s">
        <v>529</v>
      </c>
      <c r="R224" s="17"/>
      <c r="S224" s="40" t="str">
        <f>"640,0"</f>
        <v>640,0</v>
      </c>
      <c r="T224" s="17" t="str">
        <f>"359,4240"</f>
        <v>359,4240</v>
      </c>
      <c r="U224" s="14" t="s">
        <v>799</v>
      </c>
    </row>
    <row r="225" spans="1:21">
      <c r="A225" s="17" t="s">
        <v>73</v>
      </c>
      <c r="B225" s="14" t="s">
        <v>810</v>
      </c>
      <c r="C225" s="14" t="s">
        <v>811</v>
      </c>
      <c r="D225" s="14" t="s">
        <v>812</v>
      </c>
      <c r="E225" s="14" t="str">
        <f>"0,5608"</f>
        <v>0,5608</v>
      </c>
      <c r="F225" s="14" t="s">
        <v>813</v>
      </c>
      <c r="G225" s="15" t="s">
        <v>151</v>
      </c>
      <c r="H225" s="15" t="s">
        <v>398</v>
      </c>
      <c r="I225" s="15" t="s">
        <v>374</v>
      </c>
      <c r="J225" s="17"/>
      <c r="K225" s="15" t="s">
        <v>71</v>
      </c>
      <c r="L225" s="15" t="s">
        <v>58</v>
      </c>
      <c r="M225" s="15" t="s">
        <v>59</v>
      </c>
      <c r="N225" s="17"/>
      <c r="O225" s="16" t="s">
        <v>398</v>
      </c>
      <c r="P225" s="15" t="s">
        <v>398</v>
      </c>
      <c r="Q225" s="15" t="s">
        <v>374</v>
      </c>
      <c r="R225" s="17"/>
      <c r="S225" s="40" t="str">
        <f>"545,0"</f>
        <v>545,0</v>
      </c>
      <c r="T225" s="17" t="str">
        <f>"305,6360"</f>
        <v>305,6360</v>
      </c>
      <c r="U225" s="14" t="s">
        <v>814</v>
      </c>
    </row>
    <row r="226" spans="1:21">
      <c r="A226" s="20" t="s">
        <v>15</v>
      </c>
      <c r="B226" s="18" t="s">
        <v>815</v>
      </c>
      <c r="C226" s="18" t="s">
        <v>816</v>
      </c>
      <c r="D226" s="18" t="s">
        <v>817</v>
      </c>
      <c r="E226" s="18" t="str">
        <f>"0,5595"</f>
        <v>0,5595</v>
      </c>
      <c r="F226" s="18" t="s">
        <v>91</v>
      </c>
      <c r="G226" s="19" t="s">
        <v>248</v>
      </c>
      <c r="H226" s="19" t="s">
        <v>398</v>
      </c>
      <c r="I226" s="19" t="s">
        <v>392</v>
      </c>
      <c r="J226" s="20"/>
      <c r="K226" s="19" t="s">
        <v>205</v>
      </c>
      <c r="L226" s="19" t="s">
        <v>151</v>
      </c>
      <c r="M226" s="22" t="s">
        <v>347</v>
      </c>
      <c r="N226" s="20"/>
      <c r="O226" s="19" t="s">
        <v>398</v>
      </c>
      <c r="P226" s="19" t="s">
        <v>383</v>
      </c>
      <c r="Q226" s="19" t="s">
        <v>374</v>
      </c>
      <c r="R226" s="20"/>
      <c r="S226" s="38" t="str">
        <f>"550,0"</f>
        <v>550,0</v>
      </c>
      <c r="T226" s="20" t="str">
        <f>"321,2649"</f>
        <v>321,2649</v>
      </c>
      <c r="U226" s="18" t="s">
        <v>158</v>
      </c>
    </row>
    <row r="227" spans="1:21">
      <c r="B227" s="5" t="s">
        <v>40</v>
      </c>
    </row>
    <row r="228" spans="1:21" ht="15.95">
      <c r="A228" s="102" t="s">
        <v>818</v>
      </c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</row>
    <row r="229" spans="1:21">
      <c r="A229" s="13" t="s">
        <v>15</v>
      </c>
      <c r="B229" s="11" t="s">
        <v>819</v>
      </c>
      <c r="C229" s="11" t="s">
        <v>820</v>
      </c>
      <c r="D229" s="11" t="s">
        <v>821</v>
      </c>
      <c r="E229" s="11" t="str">
        <f>"0,5549"</f>
        <v>0,5549</v>
      </c>
      <c r="F229" s="11" t="s">
        <v>91</v>
      </c>
      <c r="G229" s="12" t="s">
        <v>822</v>
      </c>
      <c r="H229" s="12" t="s">
        <v>823</v>
      </c>
      <c r="I229" s="12" t="s">
        <v>824</v>
      </c>
      <c r="J229" s="13"/>
      <c r="K229" s="12" t="s">
        <v>248</v>
      </c>
      <c r="L229" s="12" t="s">
        <v>458</v>
      </c>
      <c r="M229" s="12" t="s">
        <v>453</v>
      </c>
      <c r="N229" s="13"/>
      <c r="O229" s="12" t="s">
        <v>640</v>
      </c>
      <c r="P229" s="12" t="s">
        <v>745</v>
      </c>
      <c r="Q229" s="21" t="s">
        <v>822</v>
      </c>
      <c r="R229" s="13"/>
      <c r="S229" s="37" t="str">
        <f>"785,0"</f>
        <v>785,0</v>
      </c>
      <c r="T229" s="13" t="str">
        <f>"435,5965"</f>
        <v>435,5965</v>
      </c>
      <c r="U229" s="11" t="s">
        <v>158</v>
      </c>
    </row>
    <row r="230" spans="1:21">
      <c r="A230" s="20" t="s">
        <v>62</v>
      </c>
      <c r="B230" s="18" t="s">
        <v>825</v>
      </c>
      <c r="C230" s="18" t="s">
        <v>826</v>
      </c>
      <c r="D230" s="18" t="s">
        <v>827</v>
      </c>
      <c r="E230" s="18" t="str">
        <f>"0,5476"</f>
        <v>0,5476</v>
      </c>
      <c r="F230" s="18" t="s">
        <v>828</v>
      </c>
      <c r="G230" s="19" t="s">
        <v>738</v>
      </c>
      <c r="H230" s="19" t="s">
        <v>804</v>
      </c>
      <c r="I230" s="22" t="s">
        <v>823</v>
      </c>
      <c r="J230" s="20"/>
      <c r="K230" s="19" t="s">
        <v>392</v>
      </c>
      <c r="L230" s="19" t="s">
        <v>383</v>
      </c>
      <c r="M230" s="22" t="s">
        <v>374</v>
      </c>
      <c r="N230" s="20"/>
      <c r="O230" s="19" t="s">
        <v>523</v>
      </c>
      <c r="P230" s="19" t="s">
        <v>738</v>
      </c>
      <c r="Q230" s="22" t="s">
        <v>822</v>
      </c>
      <c r="R230" s="20"/>
      <c r="S230" s="38" t="str">
        <f>"775,0"</f>
        <v>775,0</v>
      </c>
      <c r="T230" s="20" t="str">
        <f>"424,3900"</f>
        <v>424,3900</v>
      </c>
      <c r="U230" s="18" t="s">
        <v>829</v>
      </c>
    </row>
    <row r="231" spans="1:21">
      <c r="B231" s="5" t="s">
        <v>40</v>
      </c>
    </row>
    <row r="234" spans="1:21" ht="18">
      <c r="B234" s="23" t="s">
        <v>830</v>
      </c>
      <c r="C234" s="23"/>
    </row>
    <row r="235" spans="1:21" ht="15.95">
      <c r="B235" s="95" t="s">
        <v>831</v>
      </c>
      <c r="C235" s="95"/>
    </row>
    <row r="236" spans="1:21" ht="14.1">
      <c r="B236" s="24"/>
      <c r="C236" s="24" t="s">
        <v>832</v>
      </c>
    </row>
    <row r="237" spans="1:21" ht="14.1">
      <c r="B237" s="4" t="s">
        <v>833</v>
      </c>
      <c r="C237" s="4" t="s">
        <v>834</v>
      </c>
      <c r="D237" s="4" t="s">
        <v>835</v>
      </c>
      <c r="E237" s="4" t="s">
        <v>836</v>
      </c>
      <c r="F237" s="4" t="s">
        <v>837</v>
      </c>
    </row>
    <row r="238" spans="1:21">
      <c r="B238" s="5" t="s">
        <v>51</v>
      </c>
      <c r="C238" s="5" t="s">
        <v>832</v>
      </c>
      <c r="D238" s="6" t="s">
        <v>838</v>
      </c>
      <c r="E238" s="6" t="s">
        <v>839</v>
      </c>
      <c r="F238" s="6" t="s">
        <v>840</v>
      </c>
    </row>
    <row r="239" spans="1:21">
      <c r="B239" s="5" t="s">
        <v>142</v>
      </c>
      <c r="C239" s="5" t="s">
        <v>832</v>
      </c>
      <c r="D239" s="6" t="s">
        <v>841</v>
      </c>
      <c r="E239" s="6" t="s">
        <v>842</v>
      </c>
      <c r="F239" s="6" t="s">
        <v>843</v>
      </c>
    </row>
    <row r="240" spans="1:21">
      <c r="B240" s="5" t="s">
        <v>245</v>
      </c>
      <c r="C240" s="5" t="s">
        <v>832</v>
      </c>
      <c r="D240" s="6" t="s">
        <v>844</v>
      </c>
      <c r="E240" s="6" t="s">
        <v>845</v>
      </c>
      <c r="F240" s="6" t="s">
        <v>846</v>
      </c>
    </row>
    <row r="242" spans="2:6" ht="14.1">
      <c r="B242" s="24"/>
      <c r="C242" s="24" t="s">
        <v>847</v>
      </c>
    </row>
    <row r="243" spans="2:6" ht="14.1">
      <c r="B243" s="4" t="s">
        <v>833</v>
      </c>
      <c r="C243" s="4" t="s">
        <v>834</v>
      </c>
      <c r="D243" s="4" t="s">
        <v>835</v>
      </c>
      <c r="E243" s="4" t="s">
        <v>836</v>
      </c>
      <c r="F243" s="4" t="s">
        <v>837</v>
      </c>
    </row>
    <row r="244" spans="2:6">
      <c r="B244" s="5" t="s">
        <v>148</v>
      </c>
      <c r="C244" s="5" t="s">
        <v>848</v>
      </c>
      <c r="D244" s="6" t="s">
        <v>841</v>
      </c>
      <c r="E244" s="6" t="s">
        <v>842</v>
      </c>
      <c r="F244" s="6" t="s">
        <v>849</v>
      </c>
    </row>
    <row r="245" spans="2:6">
      <c r="B245" s="5" t="s">
        <v>200</v>
      </c>
      <c r="C245" s="5" t="s">
        <v>848</v>
      </c>
      <c r="D245" s="6" t="s">
        <v>850</v>
      </c>
      <c r="E245" s="6" t="s">
        <v>851</v>
      </c>
      <c r="F245" s="6" t="s">
        <v>852</v>
      </c>
    </row>
    <row r="246" spans="2:6">
      <c r="B246" s="5" t="s">
        <v>250</v>
      </c>
      <c r="C246" s="5" t="s">
        <v>848</v>
      </c>
      <c r="D246" s="6" t="s">
        <v>844</v>
      </c>
      <c r="E246" s="6" t="s">
        <v>853</v>
      </c>
      <c r="F246" s="6" t="s">
        <v>854</v>
      </c>
    </row>
    <row r="248" spans="2:6" ht="15.95">
      <c r="B248" s="95" t="s">
        <v>855</v>
      </c>
      <c r="C248" s="95"/>
    </row>
    <row r="249" spans="2:6" ht="14.1">
      <c r="B249" s="24"/>
      <c r="C249" s="24" t="s">
        <v>856</v>
      </c>
    </row>
    <row r="250" spans="2:6" ht="14.1">
      <c r="B250" s="4" t="s">
        <v>833</v>
      </c>
      <c r="C250" s="4" t="s">
        <v>834</v>
      </c>
      <c r="D250" s="4" t="s">
        <v>835</v>
      </c>
      <c r="E250" s="4" t="s">
        <v>836</v>
      </c>
      <c r="F250" s="4" t="s">
        <v>837</v>
      </c>
    </row>
    <row r="251" spans="2:6">
      <c r="B251" s="5" t="s">
        <v>604</v>
      </c>
      <c r="C251" s="5" t="s">
        <v>857</v>
      </c>
      <c r="D251" s="6" t="s">
        <v>858</v>
      </c>
      <c r="E251" s="6" t="s">
        <v>859</v>
      </c>
      <c r="F251" s="6" t="s">
        <v>860</v>
      </c>
    </row>
    <row r="252" spans="2:6">
      <c r="B252" s="5" t="s">
        <v>394</v>
      </c>
      <c r="C252" s="5" t="s">
        <v>857</v>
      </c>
      <c r="D252" s="6" t="s">
        <v>861</v>
      </c>
      <c r="E252" s="6" t="s">
        <v>862</v>
      </c>
      <c r="F252" s="6" t="s">
        <v>863</v>
      </c>
    </row>
    <row r="253" spans="2:6">
      <c r="B253" s="5" t="s">
        <v>365</v>
      </c>
      <c r="C253" s="5" t="s">
        <v>857</v>
      </c>
      <c r="D253" s="6" t="s">
        <v>844</v>
      </c>
      <c r="E253" s="6" t="s">
        <v>864</v>
      </c>
      <c r="F253" s="6" t="s">
        <v>865</v>
      </c>
    </row>
    <row r="255" spans="2:6" ht="14.1">
      <c r="B255" s="24"/>
      <c r="C255" s="24" t="s">
        <v>866</v>
      </c>
    </row>
    <row r="256" spans="2:6" ht="14.1">
      <c r="B256" s="4" t="s">
        <v>833</v>
      </c>
      <c r="C256" s="4" t="s">
        <v>834</v>
      </c>
      <c r="D256" s="4" t="s">
        <v>867</v>
      </c>
      <c r="E256" s="4" t="s">
        <v>836</v>
      </c>
      <c r="F256" s="4" t="s">
        <v>837</v>
      </c>
    </row>
    <row r="257" spans="2:6">
      <c r="B257" s="5" t="s">
        <v>486</v>
      </c>
      <c r="C257" s="5" t="s">
        <v>866</v>
      </c>
      <c r="D257" s="6" t="s">
        <v>868</v>
      </c>
      <c r="E257" s="6" t="s">
        <v>869</v>
      </c>
      <c r="F257" s="6" t="s">
        <v>870</v>
      </c>
    </row>
    <row r="258" spans="2:6">
      <c r="B258" s="5" t="s">
        <v>417</v>
      </c>
      <c r="C258" s="5" t="s">
        <v>866</v>
      </c>
      <c r="D258" s="6" t="s">
        <v>861</v>
      </c>
      <c r="E258" s="6" t="s">
        <v>871</v>
      </c>
      <c r="F258" s="6" t="s">
        <v>872</v>
      </c>
    </row>
    <row r="259" spans="2:6">
      <c r="B259" s="5" t="s">
        <v>493</v>
      </c>
      <c r="C259" s="5" t="s">
        <v>866</v>
      </c>
      <c r="D259" s="6" t="s">
        <v>868</v>
      </c>
      <c r="E259" s="6" t="s">
        <v>873</v>
      </c>
      <c r="F259" s="6" t="s">
        <v>874</v>
      </c>
    </row>
    <row r="261" spans="2:6" ht="14.1">
      <c r="B261" s="24"/>
      <c r="C261" s="24" t="s">
        <v>832</v>
      </c>
    </row>
    <row r="262" spans="2:6" ht="14.1">
      <c r="B262" s="4" t="s">
        <v>833</v>
      </c>
      <c r="C262" s="4" t="s">
        <v>834</v>
      </c>
      <c r="D262" s="4" t="s">
        <v>835</v>
      </c>
      <c r="E262" s="4" t="s">
        <v>836</v>
      </c>
      <c r="F262" s="4" t="s">
        <v>837</v>
      </c>
    </row>
    <row r="263" spans="2:6">
      <c r="B263" s="5" t="s">
        <v>486</v>
      </c>
      <c r="C263" s="5" t="s">
        <v>832</v>
      </c>
      <c r="D263" s="6" t="s">
        <v>868</v>
      </c>
      <c r="E263" s="6" t="s">
        <v>869</v>
      </c>
      <c r="F263" s="6" t="s">
        <v>870</v>
      </c>
    </row>
    <row r="264" spans="2:6">
      <c r="B264" s="5" t="s">
        <v>800</v>
      </c>
      <c r="C264" s="5" t="s">
        <v>832</v>
      </c>
      <c r="D264" s="6" t="s">
        <v>875</v>
      </c>
      <c r="E264" s="6" t="s">
        <v>876</v>
      </c>
      <c r="F264" s="6" t="s">
        <v>877</v>
      </c>
    </row>
    <row r="265" spans="2:6">
      <c r="B265" s="5" t="s">
        <v>819</v>
      </c>
      <c r="C265" s="5" t="s">
        <v>832</v>
      </c>
      <c r="D265" s="6" t="s">
        <v>878</v>
      </c>
      <c r="E265" s="6" t="s">
        <v>879</v>
      </c>
      <c r="F265" s="6" t="s">
        <v>880</v>
      </c>
    </row>
    <row r="267" spans="2:6" ht="14.1">
      <c r="B267" s="24"/>
      <c r="C267" s="24" t="s">
        <v>847</v>
      </c>
    </row>
    <row r="268" spans="2:6" ht="14.1">
      <c r="B268" s="4" t="s">
        <v>833</v>
      </c>
      <c r="C268" s="4" t="s">
        <v>834</v>
      </c>
      <c r="D268" s="4" t="s">
        <v>867</v>
      </c>
      <c r="E268" s="4" t="s">
        <v>836</v>
      </c>
      <c r="F268" s="4" t="s">
        <v>837</v>
      </c>
    </row>
    <row r="269" spans="2:6">
      <c r="B269" s="5" t="s">
        <v>667</v>
      </c>
      <c r="C269" s="5" t="s">
        <v>881</v>
      </c>
      <c r="D269" s="6" t="s">
        <v>858</v>
      </c>
      <c r="E269" s="6" t="s">
        <v>882</v>
      </c>
      <c r="F269" s="6" t="s">
        <v>883</v>
      </c>
    </row>
    <row r="270" spans="2:6">
      <c r="B270" s="5" t="s">
        <v>623</v>
      </c>
      <c r="C270" s="5" t="s">
        <v>884</v>
      </c>
      <c r="D270" s="6" t="s">
        <v>858</v>
      </c>
      <c r="E270" s="6" t="s">
        <v>885</v>
      </c>
      <c r="F270" s="6" t="s">
        <v>886</v>
      </c>
    </row>
    <row r="271" spans="2:6">
      <c r="B271" s="5" t="s">
        <v>717</v>
      </c>
      <c r="C271" s="5" t="s">
        <v>887</v>
      </c>
      <c r="D271" s="6" t="s">
        <v>888</v>
      </c>
      <c r="E271" s="6" t="s">
        <v>889</v>
      </c>
      <c r="F271" s="6" t="s">
        <v>890</v>
      </c>
    </row>
    <row r="272" spans="2:6">
      <c r="B272" s="5" t="s">
        <v>40</v>
      </c>
    </row>
  </sheetData>
  <mergeCells count="33">
    <mergeCell ref="A183:T183"/>
    <mergeCell ref="A199:T199"/>
    <mergeCell ref="A216:T216"/>
    <mergeCell ref="A221:T221"/>
    <mergeCell ref="A228:T228"/>
    <mergeCell ref="A126:T126"/>
    <mergeCell ref="A162:T162"/>
    <mergeCell ref="A28:T28"/>
    <mergeCell ref="A42:T42"/>
    <mergeCell ref="A56:T56"/>
    <mergeCell ref="A73:T73"/>
    <mergeCell ref="A83:T83"/>
    <mergeCell ref="A86:T86"/>
    <mergeCell ref="A89:T89"/>
    <mergeCell ref="A92:T92"/>
    <mergeCell ref="A95:T95"/>
    <mergeCell ref="A106:T106"/>
    <mergeCell ref="U3:U4"/>
    <mergeCell ref="A5:T5"/>
    <mergeCell ref="A9:T9"/>
    <mergeCell ref="A18:T18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110"/>
  <sheetViews>
    <sheetView workbookViewId="0">
      <selection sqref="A1:Q2"/>
    </sheetView>
  </sheetViews>
  <sheetFormatPr defaultColWidth="9.140625" defaultRowHeight="12.95"/>
  <cols>
    <col min="1" max="1" width="7.42578125" style="6" bestFit="1" customWidth="1"/>
    <col min="2" max="2" width="23.28515625" style="5" bestFit="1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23.85546875" style="5" bestFit="1" customWidth="1"/>
    <col min="7" max="9" width="5.42578125" style="6" bestFit="1" customWidth="1"/>
    <col min="10" max="10" width="4.85546875" style="6" bestFit="1" customWidth="1"/>
    <col min="11" max="14" width="5.42578125" style="6" bestFit="1" customWidth="1"/>
    <col min="15" max="15" width="7.85546875" style="39" bestFit="1" customWidth="1"/>
    <col min="16" max="16" width="8.42578125" style="6" bestFit="1" customWidth="1"/>
    <col min="17" max="17" width="19.85546875" style="5" customWidth="1"/>
    <col min="18" max="16384" width="9.140625" style="3"/>
  </cols>
  <sheetData>
    <row r="1" spans="1:17" s="2" customFormat="1" ht="29.1" customHeight="1">
      <c r="A1" s="103" t="s">
        <v>2214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6"/>
    </row>
    <row r="2" spans="1:17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</row>
    <row r="3" spans="1:17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5</v>
      </c>
      <c r="F3" s="114" t="s">
        <v>6</v>
      </c>
      <c r="G3" s="114" t="s">
        <v>8</v>
      </c>
      <c r="H3" s="114"/>
      <c r="I3" s="114"/>
      <c r="J3" s="114"/>
      <c r="K3" s="114" t="s">
        <v>9</v>
      </c>
      <c r="L3" s="114"/>
      <c r="M3" s="114"/>
      <c r="N3" s="114"/>
      <c r="O3" s="117" t="s">
        <v>10</v>
      </c>
      <c r="P3" s="114" t="s">
        <v>11</v>
      </c>
      <c r="Q3" s="99" t="s">
        <v>12</v>
      </c>
    </row>
    <row r="4" spans="1:17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96">
        <v>1</v>
      </c>
      <c r="L4" s="96">
        <v>2</v>
      </c>
      <c r="M4" s="96">
        <v>3</v>
      </c>
      <c r="N4" s="96" t="s">
        <v>13</v>
      </c>
      <c r="O4" s="118"/>
      <c r="P4" s="113"/>
      <c r="Q4" s="100"/>
    </row>
    <row r="5" spans="1:17" ht="15.95">
      <c r="A5" s="101" t="s">
        <v>241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7">
      <c r="A6" s="13" t="s">
        <v>15</v>
      </c>
      <c r="B6" s="11" t="s">
        <v>923</v>
      </c>
      <c r="C6" s="11" t="s">
        <v>924</v>
      </c>
      <c r="D6" s="11" t="s">
        <v>925</v>
      </c>
      <c r="E6" s="11" t="str">
        <f>"1,0294"</f>
        <v>1,0294</v>
      </c>
      <c r="F6" s="11" t="s">
        <v>594</v>
      </c>
      <c r="G6" s="12" t="s">
        <v>34</v>
      </c>
      <c r="H6" s="12" t="s">
        <v>25</v>
      </c>
      <c r="I6" s="21" t="s">
        <v>35</v>
      </c>
      <c r="J6" s="13"/>
      <c r="K6" s="12" t="s">
        <v>56</v>
      </c>
      <c r="L6" s="12" t="s">
        <v>145</v>
      </c>
      <c r="M6" s="21" t="s">
        <v>209</v>
      </c>
      <c r="N6" s="13"/>
      <c r="O6" s="37" t="str">
        <f>"180,0"</f>
        <v>180,0</v>
      </c>
      <c r="P6" s="13" t="str">
        <f>"206,4153"</f>
        <v>206,4153</v>
      </c>
      <c r="Q6" s="11" t="s">
        <v>926</v>
      </c>
    </row>
    <row r="7" spans="1:17">
      <c r="A7" s="20" t="s">
        <v>15</v>
      </c>
      <c r="B7" s="18" t="s">
        <v>927</v>
      </c>
      <c r="C7" s="18" t="s">
        <v>928</v>
      </c>
      <c r="D7" s="18" t="s">
        <v>919</v>
      </c>
      <c r="E7" s="18" t="str">
        <f>"1,1007"</f>
        <v>1,1007</v>
      </c>
      <c r="F7" s="18" t="s">
        <v>594</v>
      </c>
      <c r="G7" s="19" t="s">
        <v>34</v>
      </c>
      <c r="H7" s="19" t="s">
        <v>35</v>
      </c>
      <c r="I7" s="22" t="s">
        <v>26</v>
      </c>
      <c r="J7" s="20"/>
      <c r="K7" s="19" t="s">
        <v>38</v>
      </c>
      <c r="L7" s="19" t="s">
        <v>69</v>
      </c>
      <c r="M7" s="19" t="s">
        <v>56</v>
      </c>
      <c r="N7" s="20"/>
      <c r="O7" s="38" t="str">
        <f>"172,5"</f>
        <v>172,5</v>
      </c>
      <c r="P7" s="20" t="str">
        <f>"225,3766"</f>
        <v>225,3766</v>
      </c>
      <c r="Q7" s="18" t="s">
        <v>929</v>
      </c>
    </row>
    <row r="8" spans="1:17">
      <c r="B8" s="5" t="s">
        <v>40</v>
      </c>
    </row>
    <row r="9" spans="1:17" ht="15.95">
      <c r="A9" s="102" t="s">
        <v>301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</row>
    <row r="10" spans="1:17">
      <c r="A10" s="13" t="s">
        <v>15</v>
      </c>
      <c r="B10" s="11" t="s">
        <v>2215</v>
      </c>
      <c r="C10" s="11" t="s">
        <v>2216</v>
      </c>
      <c r="D10" s="11" t="s">
        <v>949</v>
      </c>
      <c r="E10" s="11" t="str">
        <f>"0,9638"</f>
        <v>0,9638</v>
      </c>
      <c r="F10" s="11" t="s">
        <v>91</v>
      </c>
      <c r="G10" s="12" t="s">
        <v>48</v>
      </c>
      <c r="H10" s="12" t="s">
        <v>57</v>
      </c>
      <c r="I10" s="21" t="s">
        <v>33</v>
      </c>
      <c r="J10" s="13"/>
      <c r="K10" s="12" t="s">
        <v>58</v>
      </c>
      <c r="L10" s="12" t="s">
        <v>59</v>
      </c>
      <c r="M10" s="21" t="s">
        <v>60</v>
      </c>
      <c r="N10" s="13"/>
      <c r="O10" s="37" t="str">
        <f>"212,5"</f>
        <v>212,5</v>
      </c>
      <c r="P10" s="13" t="str">
        <f>"204,8075"</f>
        <v>204,8075</v>
      </c>
      <c r="Q10" s="11" t="s">
        <v>2217</v>
      </c>
    </row>
    <row r="11" spans="1:17">
      <c r="A11" s="20" t="s">
        <v>92</v>
      </c>
      <c r="B11" s="18" t="s">
        <v>2218</v>
      </c>
      <c r="C11" s="18" t="s">
        <v>2219</v>
      </c>
      <c r="D11" s="18" t="s">
        <v>2220</v>
      </c>
      <c r="E11" s="18" t="str">
        <f>"0,9751"</f>
        <v>0,9751</v>
      </c>
      <c r="F11" s="18" t="s">
        <v>2221</v>
      </c>
      <c r="G11" s="19" t="s">
        <v>38</v>
      </c>
      <c r="H11" s="19" t="s">
        <v>49</v>
      </c>
      <c r="I11" s="19" t="s">
        <v>47</v>
      </c>
      <c r="J11" s="20"/>
      <c r="K11" s="22" t="s">
        <v>385</v>
      </c>
      <c r="L11" s="22" t="s">
        <v>507</v>
      </c>
      <c r="M11" s="22" t="s">
        <v>507</v>
      </c>
      <c r="N11" s="20"/>
      <c r="O11" s="38">
        <v>0</v>
      </c>
      <c r="P11" s="20" t="str">
        <f>"0,0000"</f>
        <v>0,0000</v>
      </c>
      <c r="Q11" s="18" t="s">
        <v>2222</v>
      </c>
    </row>
    <row r="12" spans="1:17">
      <c r="B12" s="5" t="s">
        <v>40</v>
      </c>
    </row>
    <row r="13" spans="1:17" ht="15.95">
      <c r="A13" s="102" t="s">
        <v>334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</row>
    <row r="14" spans="1:17">
      <c r="A14" s="10" t="s">
        <v>15</v>
      </c>
      <c r="B14" s="7" t="s">
        <v>2223</v>
      </c>
      <c r="C14" s="7" t="s">
        <v>2224</v>
      </c>
      <c r="D14" s="7" t="s">
        <v>2114</v>
      </c>
      <c r="E14" s="7" t="str">
        <f>"0,9290"</f>
        <v>0,9290</v>
      </c>
      <c r="F14" s="7" t="s">
        <v>2225</v>
      </c>
      <c r="G14" s="8" t="s">
        <v>120</v>
      </c>
      <c r="H14" s="8" t="s">
        <v>37</v>
      </c>
      <c r="I14" s="8" t="s">
        <v>38</v>
      </c>
      <c r="J14" s="10"/>
      <c r="K14" s="8" t="s">
        <v>60</v>
      </c>
      <c r="L14" s="8" t="s">
        <v>151</v>
      </c>
      <c r="M14" s="9" t="s">
        <v>248</v>
      </c>
      <c r="N14" s="10"/>
      <c r="O14" s="41" t="str">
        <f>"260,0"</f>
        <v>260,0</v>
      </c>
      <c r="P14" s="10" t="str">
        <f>"241,5400"</f>
        <v>241,5400</v>
      </c>
      <c r="Q14" s="7" t="s">
        <v>158</v>
      </c>
    </row>
    <row r="15" spans="1:17">
      <c r="B15" s="5" t="s">
        <v>40</v>
      </c>
    </row>
    <row r="16" spans="1:17" ht="15.95">
      <c r="A16" s="102" t="s">
        <v>195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</row>
    <row r="17" spans="1:17">
      <c r="A17" s="13" t="s">
        <v>15</v>
      </c>
      <c r="B17" s="11" t="s">
        <v>2226</v>
      </c>
      <c r="C17" s="11" t="s">
        <v>2227</v>
      </c>
      <c r="D17" s="11" t="s">
        <v>2228</v>
      </c>
      <c r="E17" s="11" t="str">
        <f>"0,8581"</f>
        <v>0,8581</v>
      </c>
      <c r="F17" s="11" t="s">
        <v>2121</v>
      </c>
      <c r="G17" s="12" t="s">
        <v>26</v>
      </c>
      <c r="H17" s="12" t="s">
        <v>57</v>
      </c>
      <c r="I17" s="21" t="s">
        <v>140</v>
      </c>
      <c r="J17" s="13"/>
      <c r="K17" s="12" t="s">
        <v>103</v>
      </c>
      <c r="L17" s="13"/>
      <c r="M17" s="13"/>
      <c r="N17" s="13"/>
      <c r="O17" s="37" t="str">
        <f>"117,5"</f>
        <v>117,5</v>
      </c>
      <c r="P17" s="13" t="str">
        <f>"100,8267"</f>
        <v>100,8267</v>
      </c>
      <c r="Q17" s="11" t="s">
        <v>2122</v>
      </c>
    </row>
    <row r="18" spans="1:17">
      <c r="A18" s="20" t="s">
        <v>62</v>
      </c>
      <c r="B18" s="18" t="s">
        <v>1627</v>
      </c>
      <c r="C18" s="18" t="s">
        <v>1628</v>
      </c>
      <c r="D18" s="18" t="s">
        <v>960</v>
      </c>
      <c r="E18" s="18" t="str">
        <f>"0,8689"</f>
        <v>0,8689</v>
      </c>
      <c r="F18" s="18" t="s">
        <v>594</v>
      </c>
      <c r="G18" s="19" t="s">
        <v>20</v>
      </c>
      <c r="H18" s="22" t="s">
        <v>82</v>
      </c>
      <c r="I18" s="19" t="s">
        <v>103</v>
      </c>
      <c r="J18" s="20"/>
      <c r="K18" s="19" t="s">
        <v>103</v>
      </c>
      <c r="L18" s="19" t="s">
        <v>25</v>
      </c>
      <c r="M18" s="19" t="s">
        <v>26</v>
      </c>
      <c r="N18" s="20"/>
      <c r="O18" s="38" t="str">
        <f>"110,0"</f>
        <v>110,0</v>
      </c>
      <c r="P18" s="20" t="str">
        <f>"95,5790"</f>
        <v>95,5790</v>
      </c>
      <c r="Q18" s="18" t="s">
        <v>1629</v>
      </c>
    </row>
    <row r="19" spans="1:17">
      <c r="B19" s="5" t="s">
        <v>40</v>
      </c>
    </row>
    <row r="20" spans="1:17" ht="15.95">
      <c r="A20" s="102" t="s">
        <v>241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</row>
    <row r="21" spans="1:17">
      <c r="A21" s="13" t="s">
        <v>15</v>
      </c>
      <c r="B21" s="11" t="s">
        <v>2229</v>
      </c>
      <c r="C21" s="11" t="s">
        <v>2230</v>
      </c>
      <c r="D21" s="11" t="s">
        <v>2231</v>
      </c>
      <c r="E21" s="11" t="str">
        <f>"0,7942"</f>
        <v>0,7942</v>
      </c>
      <c r="F21" s="11" t="s">
        <v>129</v>
      </c>
      <c r="G21" s="12" t="s">
        <v>81</v>
      </c>
      <c r="H21" s="12" t="s">
        <v>67</v>
      </c>
      <c r="I21" s="12" t="s">
        <v>120</v>
      </c>
      <c r="J21" s="13"/>
      <c r="K21" s="12" t="s">
        <v>248</v>
      </c>
      <c r="L21" s="12" t="s">
        <v>452</v>
      </c>
      <c r="M21" s="12" t="s">
        <v>398</v>
      </c>
      <c r="N21" s="13"/>
      <c r="O21" s="37" t="str">
        <f>"267,5"</f>
        <v>267,5</v>
      </c>
      <c r="P21" s="13" t="str">
        <f>"212,4485"</f>
        <v>212,4485</v>
      </c>
      <c r="Q21" s="11" t="s">
        <v>158</v>
      </c>
    </row>
    <row r="22" spans="1:17">
      <c r="A22" s="17" t="s">
        <v>15</v>
      </c>
      <c r="B22" s="14" t="s">
        <v>973</v>
      </c>
      <c r="C22" s="14" t="s">
        <v>974</v>
      </c>
      <c r="D22" s="14" t="s">
        <v>975</v>
      </c>
      <c r="E22" s="14" t="str">
        <f>"0,7729"</f>
        <v>0,7729</v>
      </c>
      <c r="F22" s="14" t="s">
        <v>594</v>
      </c>
      <c r="G22" s="15" t="s">
        <v>36</v>
      </c>
      <c r="H22" s="15" t="s">
        <v>49</v>
      </c>
      <c r="I22" s="15" t="s">
        <v>69</v>
      </c>
      <c r="J22" s="17"/>
      <c r="K22" s="15" t="s">
        <v>70</v>
      </c>
      <c r="L22" s="15" t="s">
        <v>59</v>
      </c>
      <c r="M22" s="16" t="s">
        <v>205</v>
      </c>
      <c r="N22" s="17"/>
      <c r="O22" s="40" t="str">
        <f>"255,0"</f>
        <v>255,0</v>
      </c>
      <c r="P22" s="17" t="str">
        <f>"199,8487"</f>
        <v>199,8487</v>
      </c>
      <c r="Q22" s="14" t="s">
        <v>976</v>
      </c>
    </row>
    <row r="23" spans="1:17">
      <c r="A23" s="20" t="s">
        <v>15</v>
      </c>
      <c r="B23" s="18" t="s">
        <v>2229</v>
      </c>
      <c r="C23" s="18" t="s">
        <v>2232</v>
      </c>
      <c r="D23" s="18" t="s">
        <v>2231</v>
      </c>
      <c r="E23" s="18" t="str">
        <f>"0,7942"</f>
        <v>0,7942</v>
      </c>
      <c r="F23" s="18" t="s">
        <v>129</v>
      </c>
      <c r="G23" s="19" t="s">
        <v>81</v>
      </c>
      <c r="H23" s="19" t="s">
        <v>67</v>
      </c>
      <c r="I23" s="19" t="s">
        <v>120</v>
      </c>
      <c r="J23" s="20"/>
      <c r="K23" s="19" t="s">
        <v>248</v>
      </c>
      <c r="L23" s="19" t="s">
        <v>452</v>
      </c>
      <c r="M23" s="19" t="s">
        <v>398</v>
      </c>
      <c r="N23" s="20"/>
      <c r="O23" s="38" t="str">
        <f>"267,5"</f>
        <v>267,5</v>
      </c>
      <c r="P23" s="20" t="str">
        <f>"293,1789"</f>
        <v>293,1789</v>
      </c>
      <c r="Q23" s="18" t="s">
        <v>158</v>
      </c>
    </row>
    <row r="24" spans="1:17">
      <c r="B24" s="5" t="s">
        <v>40</v>
      </c>
    </row>
    <row r="25" spans="1:17" ht="15.95">
      <c r="A25" s="102" t="s">
        <v>301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</row>
    <row r="26" spans="1:17">
      <c r="A26" s="13" t="s">
        <v>15</v>
      </c>
      <c r="B26" s="11" t="s">
        <v>996</v>
      </c>
      <c r="C26" s="11" t="s">
        <v>997</v>
      </c>
      <c r="D26" s="11" t="s">
        <v>434</v>
      </c>
      <c r="E26" s="11" t="str">
        <f>"0,7152"</f>
        <v>0,7152</v>
      </c>
      <c r="F26" s="11" t="s">
        <v>176</v>
      </c>
      <c r="G26" s="12" t="s">
        <v>152</v>
      </c>
      <c r="H26" s="12" t="s">
        <v>248</v>
      </c>
      <c r="I26" s="12" t="s">
        <v>998</v>
      </c>
      <c r="J26" s="13"/>
      <c r="K26" s="21" t="s">
        <v>744</v>
      </c>
      <c r="L26" s="12" t="s">
        <v>744</v>
      </c>
      <c r="M26" s="12" t="s">
        <v>999</v>
      </c>
      <c r="N26" s="13"/>
      <c r="O26" s="37" t="str">
        <f>"460,5"</f>
        <v>460,5</v>
      </c>
      <c r="P26" s="13" t="str">
        <f>"329,3496"</f>
        <v>329,3496</v>
      </c>
      <c r="Q26" s="11" t="s">
        <v>1000</v>
      </c>
    </row>
    <row r="27" spans="1:17">
      <c r="A27" s="17" t="s">
        <v>62</v>
      </c>
      <c r="B27" s="14" t="s">
        <v>1647</v>
      </c>
      <c r="C27" s="14" t="s">
        <v>1648</v>
      </c>
      <c r="D27" s="14" t="s">
        <v>390</v>
      </c>
      <c r="E27" s="14" t="str">
        <f>"0,7200"</f>
        <v>0,7200</v>
      </c>
      <c r="F27" s="14" t="s">
        <v>1105</v>
      </c>
      <c r="G27" s="15" t="s">
        <v>60</v>
      </c>
      <c r="H27" s="15" t="s">
        <v>151</v>
      </c>
      <c r="I27" s="15" t="s">
        <v>347</v>
      </c>
      <c r="J27" s="17"/>
      <c r="K27" s="15" t="s">
        <v>490</v>
      </c>
      <c r="L27" s="15" t="s">
        <v>628</v>
      </c>
      <c r="M27" s="15" t="s">
        <v>738</v>
      </c>
      <c r="N27" s="16" t="s">
        <v>745</v>
      </c>
      <c r="O27" s="40" t="str">
        <f>"447,5"</f>
        <v>447,5</v>
      </c>
      <c r="P27" s="17" t="str">
        <f>"322,2000"</f>
        <v>322,2000</v>
      </c>
      <c r="Q27" s="14" t="s">
        <v>158</v>
      </c>
    </row>
    <row r="28" spans="1:17">
      <c r="A28" s="17" t="s">
        <v>73</v>
      </c>
      <c r="B28" s="14" t="s">
        <v>1649</v>
      </c>
      <c r="C28" s="14" t="s">
        <v>1650</v>
      </c>
      <c r="D28" s="14" t="s">
        <v>1403</v>
      </c>
      <c r="E28" s="14" t="str">
        <f>"0,7193"</f>
        <v>0,7193</v>
      </c>
      <c r="F28" s="14" t="s">
        <v>1651</v>
      </c>
      <c r="G28" s="15" t="s">
        <v>59</v>
      </c>
      <c r="H28" s="15" t="s">
        <v>205</v>
      </c>
      <c r="I28" s="15" t="s">
        <v>427</v>
      </c>
      <c r="J28" s="17"/>
      <c r="K28" s="15" t="s">
        <v>442</v>
      </c>
      <c r="L28" s="15" t="s">
        <v>422</v>
      </c>
      <c r="M28" s="15" t="s">
        <v>490</v>
      </c>
      <c r="N28" s="17"/>
      <c r="O28" s="40" t="str">
        <f>"412,5"</f>
        <v>412,5</v>
      </c>
      <c r="P28" s="17" t="str">
        <f>"296,7112"</f>
        <v>296,7112</v>
      </c>
      <c r="Q28" s="14" t="s">
        <v>1652</v>
      </c>
    </row>
    <row r="29" spans="1:17">
      <c r="A29" s="20" t="s">
        <v>75</v>
      </c>
      <c r="B29" s="18" t="s">
        <v>2233</v>
      </c>
      <c r="C29" s="18" t="s">
        <v>2234</v>
      </c>
      <c r="D29" s="18" t="s">
        <v>323</v>
      </c>
      <c r="E29" s="18" t="str">
        <f>"0,7159"</f>
        <v>0,7159</v>
      </c>
      <c r="F29" s="18" t="s">
        <v>91</v>
      </c>
      <c r="G29" s="19" t="s">
        <v>69</v>
      </c>
      <c r="H29" s="19" t="s">
        <v>56</v>
      </c>
      <c r="I29" s="22" t="s">
        <v>70</v>
      </c>
      <c r="J29" s="20"/>
      <c r="K29" s="19" t="s">
        <v>151</v>
      </c>
      <c r="L29" s="19" t="s">
        <v>248</v>
      </c>
      <c r="M29" s="20"/>
      <c r="N29" s="20"/>
      <c r="O29" s="38" t="str">
        <f>"285,0"</f>
        <v>285,0</v>
      </c>
      <c r="P29" s="20" t="str">
        <f>"204,0315"</f>
        <v>204,0315</v>
      </c>
      <c r="Q29" s="18" t="s">
        <v>158</v>
      </c>
    </row>
    <row r="30" spans="1:17">
      <c r="B30" s="5" t="s">
        <v>40</v>
      </c>
    </row>
    <row r="31" spans="1:17" ht="15.95">
      <c r="A31" s="102" t="s">
        <v>334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</row>
    <row r="32" spans="1:17">
      <c r="A32" s="13" t="s">
        <v>15</v>
      </c>
      <c r="B32" s="11" t="s">
        <v>1039</v>
      </c>
      <c r="C32" s="11" t="s">
        <v>1040</v>
      </c>
      <c r="D32" s="11" t="s">
        <v>575</v>
      </c>
      <c r="E32" s="11" t="str">
        <f>"0,6704"</f>
        <v>0,6704</v>
      </c>
      <c r="F32" s="45" t="s">
        <v>1041</v>
      </c>
      <c r="G32" s="54" t="s">
        <v>392</v>
      </c>
      <c r="H32" s="12" t="s">
        <v>506</v>
      </c>
      <c r="I32" s="64" t="s">
        <v>374</v>
      </c>
      <c r="J32" s="13"/>
      <c r="K32" s="55" t="s">
        <v>822</v>
      </c>
      <c r="L32" s="12" t="s">
        <v>804</v>
      </c>
      <c r="M32" s="65" t="s">
        <v>1043</v>
      </c>
      <c r="N32" s="63"/>
      <c r="O32" s="37" t="str">
        <f>"507,5"</f>
        <v>507,5</v>
      </c>
      <c r="P32" s="13" t="str">
        <f>"340,2280"</f>
        <v>340,2280</v>
      </c>
      <c r="Q32" s="11" t="s">
        <v>1044</v>
      </c>
    </row>
    <row r="33" spans="1:17">
      <c r="A33" s="17" t="s">
        <v>62</v>
      </c>
      <c r="B33" s="14" t="s">
        <v>1673</v>
      </c>
      <c r="C33" s="14" t="s">
        <v>1674</v>
      </c>
      <c r="D33" s="14" t="s">
        <v>477</v>
      </c>
      <c r="E33" s="14" t="str">
        <f>"0,6785"</f>
        <v>0,6785</v>
      </c>
      <c r="F33" s="46" t="s">
        <v>594</v>
      </c>
      <c r="G33" s="56" t="s">
        <v>205</v>
      </c>
      <c r="H33" s="15" t="s">
        <v>152</v>
      </c>
      <c r="I33" s="52" t="s">
        <v>248</v>
      </c>
      <c r="J33" s="17"/>
      <c r="K33" s="52" t="s">
        <v>422</v>
      </c>
      <c r="L33" s="15" t="s">
        <v>490</v>
      </c>
      <c r="M33" s="50" t="s">
        <v>1042</v>
      </c>
      <c r="N33" s="49"/>
      <c r="O33" s="40" t="str">
        <f>"420,0"</f>
        <v>420,0</v>
      </c>
      <c r="P33" s="17" t="str">
        <f>"284,9700"</f>
        <v>284,9700</v>
      </c>
      <c r="Q33" s="14" t="s">
        <v>158</v>
      </c>
    </row>
    <row r="34" spans="1:17">
      <c r="A34" s="17" t="s">
        <v>73</v>
      </c>
      <c r="B34" s="14" t="s">
        <v>2235</v>
      </c>
      <c r="C34" s="14" t="s">
        <v>2236</v>
      </c>
      <c r="D34" s="14" t="s">
        <v>468</v>
      </c>
      <c r="E34" s="14" t="str">
        <f>"0,6744"</f>
        <v>0,6744</v>
      </c>
      <c r="F34" s="46" t="s">
        <v>1238</v>
      </c>
      <c r="G34" s="56" t="s">
        <v>60</v>
      </c>
      <c r="H34" s="16" t="s">
        <v>151</v>
      </c>
      <c r="I34" s="52" t="s">
        <v>152</v>
      </c>
      <c r="J34" s="17"/>
      <c r="K34" s="52" t="s">
        <v>420</v>
      </c>
      <c r="L34" s="16" t="s">
        <v>421</v>
      </c>
      <c r="M34" s="50" t="s">
        <v>421</v>
      </c>
      <c r="N34" s="49"/>
      <c r="O34" s="40" t="str">
        <f>"385,0"</f>
        <v>385,0</v>
      </c>
      <c r="P34" s="17" t="str">
        <f>"259,6440"</f>
        <v>259,6440</v>
      </c>
      <c r="Q34" s="14" t="s">
        <v>158</v>
      </c>
    </row>
    <row r="35" spans="1:17">
      <c r="A35" s="17" t="s">
        <v>15</v>
      </c>
      <c r="B35" s="14" t="s">
        <v>1687</v>
      </c>
      <c r="C35" s="14" t="s">
        <v>1688</v>
      </c>
      <c r="D35" s="14" t="s">
        <v>590</v>
      </c>
      <c r="E35" s="14" t="str">
        <f>"0,6724"</f>
        <v>0,6724</v>
      </c>
      <c r="F35" s="46" t="s">
        <v>594</v>
      </c>
      <c r="G35" s="56" t="s">
        <v>209</v>
      </c>
      <c r="H35" s="15" t="s">
        <v>58</v>
      </c>
      <c r="I35" s="52" t="s">
        <v>346</v>
      </c>
      <c r="J35" s="17"/>
      <c r="K35" s="52" t="s">
        <v>374</v>
      </c>
      <c r="L35" s="17"/>
      <c r="M35" s="49"/>
      <c r="N35" s="49"/>
      <c r="O35" s="40" t="str">
        <f>"342,5"</f>
        <v>342,5</v>
      </c>
      <c r="P35" s="17" t="str">
        <f>"277,9685"</f>
        <v>277,9685</v>
      </c>
      <c r="Q35" s="14" t="s">
        <v>158</v>
      </c>
    </row>
    <row r="36" spans="1:17">
      <c r="A36" s="17" t="s">
        <v>62</v>
      </c>
      <c r="B36" s="14" t="s">
        <v>1689</v>
      </c>
      <c r="C36" s="14" t="s">
        <v>1690</v>
      </c>
      <c r="D36" s="14" t="s">
        <v>587</v>
      </c>
      <c r="E36" s="14" t="str">
        <f>"0,6774"</f>
        <v>0,6774</v>
      </c>
      <c r="F36" s="46" t="s">
        <v>1651</v>
      </c>
      <c r="G36" s="58" t="s">
        <v>69</v>
      </c>
      <c r="H36" s="16" t="s">
        <v>69</v>
      </c>
      <c r="I36" s="52" t="s">
        <v>69</v>
      </c>
      <c r="J36" s="17"/>
      <c r="K36" s="53" t="s">
        <v>70</v>
      </c>
      <c r="L36" s="15" t="s">
        <v>70</v>
      </c>
      <c r="M36" s="57" t="s">
        <v>58</v>
      </c>
      <c r="N36" s="49"/>
      <c r="O36" s="40" t="str">
        <f>"250,0"</f>
        <v>250,0</v>
      </c>
      <c r="P36" s="17" t="str">
        <f>"201,0184"</f>
        <v>201,0184</v>
      </c>
      <c r="Q36" s="14" t="s">
        <v>1691</v>
      </c>
    </row>
    <row r="37" spans="1:17">
      <c r="A37" s="17" t="s">
        <v>15</v>
      </c>
      <c r="B37" s="14" t="s">
        <v>2237</v>
      </c>
      <c r="C37" s="14" t="s">
        <v>2238</v>
      </c>
      <c r="D37" s="14" t="s">
        <v>554</v>
      </c>
      <c r="E37" s="14" t="str">
        <f>"0,6739"</f>
        <v>0,6739</v>
      </c>
      <c r="F37" s="46" t="s">
        <v>809</v>
      </c>
      <c r="G37" s="56" t="s">
        <v>58</v>
      </c>
      <c r="H37" s="15" t="s">
        <v>59</v>
      </c>
      <c r="I37" s="53" t="s">
        <v>60</v>
      </c>
      <c r="J37" s="17"/>
      <c r="K37" s="52" t="s">
        <v>374</v>
      </c>
      <c r="L37" s="16" t="s">
        <v>399</v>
      </c>
      <c r="M37" s="57" t="s">
        <v>399</v>
      </c>
      <c r="N37" s="49"/>
      <c r="O37" s="40" t="str">
        <f>"350,0"</f>
        <v>350,0</v>
      </c>
      <c r="P37" s="17" t="str">
        <f>"369,1287"</f>
        <v>369,1287</v>
      </c>
      <c r="Q37" s="14" t="s">
        <v>158</v>
      </c>
    </row>
    <row r="38" spans="1:17">
      <c r="A38" s="20" t="s">
        <v>62</v>
      </c>
      <c r="B38" s="18" t="s">
        <v>2239</v>
      </c>
      <c r="C38" s="18" t="s">
        <v>2240</v>
      </c>
      <c r="D38" s="18" t="s">
        <v>2241</v>
      </c>
      <c r="E38" s="18" t="str">
        <f>"0,6865"</f>
        <v>0,6865</v>
      </c>
      <c r="F38" s="47" t="s">
        <v>1279</v>
      </c>
      <c r="G38" s="66" t="s">
        <v>67</v>
      </c>
      <c r="H38" s="19" t="s">
        <v>37</v>
      </c>
      <c r="I38" s="60" t="s">
        <v>110</v>
      </c>
      <c r="J38" s="20"/>
      <c r="K38" s="67" t="s">
        <v>38</v>
      </c>
      <c r="L38" s="19" t="s">
        <v>70</v>
      </c>
      <c r="M38" s="68" t="s">
        <v>145</v>
      </c>
      <c r="N38" s="61"/>
      <c r="O38" s="38" t="str">
        <f>"220,0"</f>
        <v>220,0</v>
      </c>
      <c r="P38" s="20" t="str">
        <f>"246,1789"</f>
        <v>246,1789</v>
      </c>
      <c r="Q38" s="18" t="s">
        <v>158</v>
      </c>
    </row>
    <row r="39" spans="1:17">
      <c r="B39" s="5" t="s">
        <v>40</v>
      </c>
    </row>
    <row r="40" spans="1:17" ht="15.95">
      <c r="A40" s="102" t="s">
        <v>598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</row>
    <row r="41" spans="1:17">
      <c r="A41" s="13" t="s">
        <v>15</v>
      </c>
      <c r="B41" s="11" t="s">
        <v>1699</v>
      </c>
      <c r="C41" s="11" t="s">
        <v>1700</v>
      </c>
      <c r="D41" s="11" t="s">
        <v>1701</v>
      </c>
      <c r="E41" s="11" t="str">
        <f>"0,6444"</f>
        <v>0,6444</v>
      </c>
      <c r="F41" s="11" t="s">
        <v>1279</v>
      </c>
      <c r="G41" s="12" t="s">
        <v>452</v>
      </c>
      <c r="H41" s="21" t="s">
        <v>453</v>
      </c>
      <c r="I41" s="13"/>
      <c r="J41" s="13"/>
      <c r="K41" s="12" t="s">
        <v>442</v>
      </c>
      <c r="L41" s="12" t="s">
        <v>459</v>
      </c>
      <c r="M41" s="21" t="s">
        <v>1175</v>
      </c>
      <c r="N41" s="13"/>
      <c r="O41" s="37" t="str">
        <f>"412,5"</f>
        <v>412,5</v>
      </c>
      <c r="P41" s="13" t="str">
        <f>"265,8150"</f>
        <v>265,8150</v>
      </c>
      <c r="Q41" s="11" t="s">
        <v>551</v>
      </c>
    </row>
    <row r="42" spans="1:17">
      <c r="A42" s="17" t="s">
        <v>15</v>
      </c>
      <c r="B42" s="14" t="s">
        <v>1709</v>
      </c>
      <c r="C42" s="14" t="s">
        <v>1710</v>
      </c>
      <c r="D42" s="14" t="s">
        <v>1081</v>
      </c>
      <c r="E42" s="14" t="str">
        <f>"0,6384"</f>
        <v>0,6384</v>
      </c>
      <c r="F42" s="14" t="s">
        <v>176</v>
      </c>
      <c r="G42" s="15" t="s">
        <v>453</v>
      </c>
      <c r="H42" s="15" t="s">
        <v>454</v>
      </c>
      <c r="I42" s="15" t="s">
        <v>506</v>
      </c>
      <c r="J42" s="17"/>
      <c r="K42" s="15" t="s">
        <v>1043</v>
      </c>
      <c r="L42" s="16" t="s">
        <v>1711</v>
      </c>
      <c r="M42" s="16" t="s">
        <v>839</v>
      </c>
      <c r="N42" s="17"/>
      <c r="O42" s="40" t="str">
        <f>"507,5"</f>
        <v>507,5</v>
      </c>
      <c r="P42" s="17" t="str">
        <f>"323,9880"</f>
        <v>323,9880</v>
      </c>
      <c r="Q42" s="14" t="s">
        <v>1712</v>
      </c>
    </row>
    <row r="43" spans="1:17">
      <c r="A43" s="17" t="s">
        <v>62</v>
      </c>
      <c r="B43" s="14" t="s">
        <v>1083</v>
      </c>
      <c r="C43" s="14" t="s">
        <v>1084</v>
      </c>
      <c r="D43" s="14" t="s">
        <v>1085</v>
      </c>
      <c r="E43" s="14" t="str">
        <f>"0,6455"</f>
        <v>0,6455</v>
      </c>
      <c r="F43" s="14" t="s">
        <v>338</v>
      </c>
      <c r="G43" s="15" t="s">
        <v>351</v>
      </c>
      <c r="H43" s="16" t="s">
        <v>368</v>
      </c>
      <c r="I43" s="16" t="s">
        <v>368</v>
      </c>
      <c r="J43" s="17"/>
      <c r="K43" s="15" t="s">
        <v>804</v>
      </c>
      <c r="L43" s="15" t="s">
        <v>1086</v>
      </c>
      <c r="M43" s="16" t="s">
        <v>1087</v>
      </c>
      <c r="N43" s="17"/>
      <c r="O43" s="40" t="str">
        <f>"495,0"</f>
        <v>495,0</v>
      </c>
      <c r="P43" s="17" t="str">
        <f>"319,5225"</f>
        <v>319,5225</v>
      </c>
      <c r="Q43" s="14" t="s">
        <v>158</v>
      </c>
    </row>
    <row r="44" spans="1:17">
      <c r="A44" s="17" t="s">
        <v>73</v>
      </c>
      <c r="B44" s="14" t="s">
        <v>2242</v>
      </c>
      <c r="C44" s="14" t="s">
        <v>2243</v>
      </c>
      <c r="D44" s="14" t="s">
        <v>1085</v>
      </c>
      <c r="E44" s="14" t="str">
        <f>"0,6455"</f>
        <v>0,6455</v>
      </c>
      <c r="F44" s="14" t="s">
        <v>1279</v>
      </c>
      <c r="G44" s="15" t="s">
        <v>398</v>
      </c>
      <c r="H44" s="16" t="s">
        <v>392</v>
      </c>
      <c r="I44" s="16" t="s">
        <v>392</v>
      </c>
      <c r="J44" s="17"/>
      <c r="K44" s="15" t="s">
        <v>804</v>
      </c>
      <c r="L44" s="16" t="s">
        <v>1078</v>
      </c>
      <c r="M44" s="16" t="s">
        <v>1078</v>
      </c>
      <c r="N44" s="17"/>
      <c r="O44" s="40" t="str">
        <f>"480,0"</f>
        <v>480,0</v>
      </c>
      <c r="P44" s="17" t="str">
        <f>"309,8400"</f>
        <v>309,8400</v>
      </c>
      <c r="Q44" s="14" t="s">
        <v>2244</v>
      </c>
    </row>
    <row r="45" spans="1:17">
      <c r="A45" s="17" t="s">
        <v>75</v>
      </c>
      <c r="B45" s="14" t="s">
        <v>1715</v>
      </c>
      <c r="C45" s="14" t="s">
        <v>1716</v>
      </c>
      <c r="D45" s="14" t="s">
        <v>1070</v>
      </c>
      <c r="E45" s="14" t="str">
        <f>"0,6424"</f>
        <v>0,6424</v>
      </c>
      <c r="F45" s="14" t="s">
        <v>594</v>
      </c>
      <c r="G45" s="15" t="s">
        <v>550</v>
      </c>
      <c r="H45" s="15" t="s">
        <v>398</v>
      </c>
      <c r="I45" s="16" t="s">
        <v>458</v>
      </c>
      <c r="J45" s="17"/>
      <c r="K45" s="15" t="s">
        <v>491</v>
      </c>
      <c r="L45" s="16" t="s">
        <v>1717</v>
      </c>
      <c r="M45" s="15" t="s">
        <v>1717</v>
      </c>
      <c r="N45" s="17"/>
      <c r="O45" s="40" t="str">
        <f>"457,5"</f>
        <v>457,5</v>
      </c>
      <c r="P45" s="17" t="str">
        <f>"293,8980"</f>
        <v>293,8980</v>
      </c>
      <c r="Q45" s="14" t="s">
        <v>158</v>
      </c>
    </row>
    <row r="46" spans="1:17">
      <c r="A46" s="17" t="s">
        <v>87</v>
      </c>
      <c r="B46" s="14" t="s">
        <v>2245</v>
      </c>
      <c r="C46" s="14" t="s">
        <v>2246</v>
      </c>
      <c r="D46" s="14" t="s">
        <v>952</v>
      </c>
      <c r="E46" s="14" t="str">
        <f>"0,6479"</f>
        <v>0,6479</v>
      </c>
      <c r="F46" s="14" t="s">
        <v>166</v>
      </c>
      <c r="G46" s="15" t="s">
        <v>248</v>
      </c>
      <c r="H46" s="16" t="s">
        <v>398</v>
      </c>
      <c r="I46" s="16" t="s">
        <v>398</v>
      </c>
      <c r="J46" s="17"/>
      <c r="K46" s="15" t="s">
        <v>491</v>
      </c>
      <c r="L46" s="15" t="s">
        <v>754</v>
      </c>
      <c r="M46" s="16" t="s">
        <v>738</v>
      </c>
      <c r="N46" s="17"/>
      <c r="O46" s="40" t="str">
        <f>"445,0"</f>
        <v>445,0</v>
      </c>
      <c r="P46" s="17" t="str">
        <f>"288,3155"</f>
        <v>288,3155</v>
      </c>
      <c r="Q46" s="14" t="s">
        <v>158</v>
      </c>
    </row>
    <row r="47" spans="1:17">
      <c r="A47" s="17" t="s">
        <v>15</v>
      </c>
      <c r="B47" s="14" t="s">
        <v>1739</v>
      </c>
      <c r="C47" s="14" t="s">
        <v>1740</v>
      </c>
      <c r="D47" s="14" t="s">
        <v>1741</v>
      </c>
      <c r="E47" s="14" t="str">
        <f>"0,6487"</f>
        <v>0,6487</v>
      </c>
      <c r="F47" s="14" t="s">
        <v>594</v>
      </c>
      <c r="G47" s="15" t="s">
        <v>157</v>
      </c>
      <c r="H47" s="15" t="s">
        <v>59</v>
      </c>
      <c r="I47" s="16" t="s">
        <v>342</v>
      </c>
      <c r="J47" s="17"/>
      <c r="K47" s="16" t="s">
        <v>420</v>
      </c>
      <c r="L47" s="15" t="s">
        <v>420</v>
      </c>
      <c r="M47" s="16" t="s">
        <v>529</v>
      </c>
      <c r="N47" s="17"/>
      <c r="O47" s="40" t="str">
        <f>"365,0"</f>
        <v>365,0</v>
      </c>
      <c r="P47" s="17" t="str">
        <f>"236,7755"</f>
        <v>236,7755</v>
      </c>
      <c r="Q47" s="14" t="s">
        <v>1742</v>
      </c>
    </row>
    <row r="48" spans="1:17">
      <c r="A48" s="17" t="s">
        <v>62</v>
      </c>
      <c r="B48" s="14" t="s">
        <v>1112</v>
      </c>
      <c r="C48" s="14" t="s">
        <v>1113</v>
      </c>
      <c r="D48" s="14" t="s">
        <v>1114</v>
      </c>
      <c r="E48" s="14" t="str">
        <f>"0,6467"</f>
        <v>0,6467</v>
      </c>
      <c r="F48" s="14" t="s">
        <v>602</v>
      </c>
      <c r="G48" s="15" t="s">
        <v>145</v>
      </c>
      <c r="H48" s="15" t="s">
        <v>209</v>
      </c>
      <c r="I48" s="15" t="s">
        <v>346</v>
      </c>
      <c r="J48" s="17"/>
      <c r="K48" s="15" t="s">
        <v>368</v>
      </c>
      <c r="L48" s="15" t="s">
        <v>383</v>
      </c>
      <c r="M48" s="15" t="s">
        <v>399</v>
      </c>
      <c r="N48" s="17"/>
      <c r="O48" s="40" t="str">
        <f>"347,5"</f>
        <v>347,5</v>
      </c>
      <c r="P48" s="17" t="str">
        <f>"238,2120"</f>
        <v>238,2120</v>
      </c>
      <c r="Q48" s="14" t="s">
        <v>1115</v>
      </c>
    </row>
    <row r="49" spans="1:17">
      <c r="A49" s="17" t="s">
        <v>73</v>
      </c>
      <c r="B49" s="14" t="s">
        <v>1108</v>
      </c>
      <c r="C49" s="14" t="s">
        <v>2247</v>
      </c>
      <c r="D49" s="14" t="s">
        <v>625</v>
      </c>
      <c r="E49" s="14" t="str">
        <f>"0,6402"</f>
        <v>0,6402</v>
      </c>
      <c r="F49" s="14" t="s">
        <v>1110</v>
      </c>
      <c r="G49" s="15" t="s">
        <v>70</v>
      </c>
      <c r="H49" s="15" t="s">
        <v>85</v>
      </c>
      <c r="I49" s="15" t="s">
        <v>209</v>
      </c>
      <c r="J49" s="17"/>
      <c r="K49" s="15" t="s">
        <v>58</v>
      </c>
      <c r="L49" s="15" t="s">
        <v>398</v>
      </c>
      <c r="M49" s="16" t="s">
        <v>374</v>
      </c>
      <c r="N49" s="17"/>
      <c r="O49" s="40" t="str">
        <f>"315,0"</f>
        <v>315,0</v>
      </c>
      <c r="P49" s="17" t="str">
        <f>"213,7628"</f>
        <v>213,7628</v>
      </c>
      <c r="Q49" s="14" t="s">
        <v>2248</v>
      </c>
    </row>
    <row r="50" spans="1:17">
      <c r="A50" s="17" t="s">
        <v>15</v>
      </c>
      <c r="B50" s="14" t="s">
        <v>1715</v>
      </c>
      <c r="C50" s="14" t="s">
        <v>1743</v>
      </c>
      <c r="D50" s="14" t="s">
        <v>1070</v>
      </c>
      <c r="E50" s="14" t="str">
        <f>"0,6424"</f>
        <v>0,6424</v>
      </c>
      <c r="F50" s="14" t="s">
        <v>594</v>
      </c>
      <c r="G50" s="15" t="s">
        <v>550</v>
      </c>
      <c r="H50" s="15" t="s">
        <v>398</v>
      </c>
      <c r="I50" s="16" t="s">
        <v>458</v>
      </c>
      <c r="J50" s="17"/>
      <c r="K50" s="15" t="s">
        <v>491</v>
      </c>
      <c r="L50" s="16" t="s">
        <v>1717</v>
      </c>
      <c r="M50" s="15" t="s">
        <v>1717</v>
      </c>
      <c r="N50" s="17"/>
      <c r="O50" s="40" t="str">
        <f>"457,5"</f>
        <v>457,5</v>
      </c>
      <c r="P50" s="17" t="str">
        <f>"343,2729"</f>
        <v>343,2729</v>
      </c>
      <c r="Q50" s="14" t="s">
        <v>158</v>
      </c>
    </row>
    <row r="51" spans="1:17">
      <c r="A51" s="20" t="s">
        <v>62</v>
      </c>
      <c r="B51" s="18" t="s">
        <v>1744</v>
      </c>
      <c r="C51" s="18" t="s">
        <v>1745</v>
      </c>
      <c r="D51" s="18" t="s">
        <v>1118</v>
      </c>
      <c r="E51" s="18" t="str">
        <f>"0,6440"</f>
        <v>0,6440</v>
      </c>
      <c r="F51" s="18" t="s">
        <v>2249</v>
      </c>
      <c r="G51" s="19" t="s">
        <v>205</v>
      </c>
      <c r="H51" s="19" t="s">
        <v>427</v>
      </c>
      <c r="I51" s="19" t="s">
        <v>347</v>
      </c>
      <c r="J51" s="20"/>
      <c r="K51" s="19" t="s">
        <v>640</v>
      </c>
      <c r="L51" s="19" t="s">
        <v>745</v>
      </c>
      <c r="M51" s="22" t="s">
        <v>746</v>
      </c>
      <c r="N51" s="20"/>
      <c r="O51" s="38" t="str">
        <f>"452,5"</f>
        <v>452,5</v>
      </c>
      <c r="P51" s="20" t="str">
        <f>"351,7319"</f>
        <v>351,7319</v>
      </c>
      <c r="Q51" s="18" t="s">
        <v>158</v>
      </c>
    </row>
    <row r="52" spans="1:17">
      <c r="B52" s="5" t="s">
        <v>40</v>
      </c>
    </row>
    <row r="53" spans="1:17" ht="15.95">
      <c r="A53" s="102" t="s">
        <v>670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</row>
    <row r="54" spans="1:17">
      <c r="A54" s="13" t="s">
        <v>15</v>
      </c>
      <c r="B54" s="11" t="s">
        <v>1753</v>
      </c>
      <c r="C54" s="11" t="s">
        <v>1754</v>
      </c>
      <c r="D54" s="11" t="s">
        <v>1755</v>
      </c>
      <c r="E54" s="11" t="str">
        <f>"0,6142"</f>
        <v>0,6142</v>
      </c>
      <c r="F54" s="11" t="s">
        <v>79</v>
      </c>
      <c r="G54" s="12" t="s">
        <v>383</v>
      </c>
      <c r="H54" s="21" t="s">
        <v>374</v>
      </c>
      <c r="I54" s="21" t="s">
        <v>374</v>
      </c>
      <c r="J54" s="13"/>
      <c r="K54" s="21" t="s">
        <v>1078</v>
      </c>
      <c r="L54" s="21" t="s">
        <v>1078</v>
      </c>
      <c r="M54" s="12" t="s">
        <v>1078</v>
      </c>
      <c r="N54" s="13"/>
      <c r="O54" s="37" t="str">
        <f>"510,0"</f>
        <v>510,0</v>
      </c>
      <c r="P54" s="13" t="str">
        <f>"313,2420"</f>
        <v>313,2420</v>
      </c>
      <c r="Q54" s="11" t="s">
        <v>158</v>
      </c>
    </row>
    <row r="55" spans="1:17">
      <c r="A55" s="17" t="s">
        <v>62</v>
      </c>
      <c r="B55" s="14" t="s">
        <v>1128</v>
      </c>
      <c r="C55" s="14" t="s">
        <v>1129</v>
      </c>
      <c r="D55" s="14" t="s">
        <v>1130</v>
      </c>
      <c r="E55" s="14" t="str">
        <f>"0,6188"</f>
        <v>0,6188</v>
      </c>
      <c r="F55" s="14" t="s">
        <v>1131</v>
      </c>
      <c r="G55" s="15" t="s">
        <v>368</v>
      </c>
      <c r="H55" s="16" t="s">
        <v>392</v>
      </c>
      <c r="I55" s="17"/>
      <c r="J55" s="17"/>
      <c r="K55" s="16" t="s">
        <v>627</v>
      </c>
      <c r="L55" s="15" t="s">
        <v>627</v>
      </c>
      <c r="M55" s="15" t="s">
        <v>529</v>
      </c>
      <c r="N55" s="17"/>
      <c r="O55" s="40" t="str">
        <f>"440,0"</f>
        <v>440,0</v>
      </c>
      <c r="P55" s="17" t="str">
        <f>"272,2720"</f>
        <v>272,2720</v>
      </c>
      <c r="Q55" s="14" t="s">
        <v>158</v>
      </c>
    </row>
    <row r="56" spans="1:17">
      <c r="A56" s="17" t="s">
        <v>15</v>
      </c>
      <c r="B56" s="14" t="s">
        <v>1753</v>
      </c>
      <c r="C56" s="14" t="s">
        <v>1775</v>
      </c>
      <c r="D56" s="14" t="s">
        <v>1755</v>
      </c>
      <c r="E56" s="14" t="str">
        <f>"0,6142"</f>
        <v>0,6142</v>
      </c>
      <c r="F56" s="14" t="s">
        <v>79</v>
      </c>
      <c r="G56" s="15" t="s">
        <v>383</v>
      </c>
      <c r="H56" s="16" t="s">
        <v>374</v>
      </c>
      <c r="I56" s="16" t="s">
        <v>374</v>
      </c>
      <c r="J56" s="17"/>
      <c r="K56" s="16" t="s">
        <v>1078</v>
      </c>
      <c r="L56" s="16" t="s">
        <v>1078</v>
      </c>
      <c r="M56" s="15" t="s">
        <v>1078</v>
      </c>
      <c r="N56" s="17"/>
      <c r="O56" s="40" t="str">
        <f>"510,0"</f>
        <v>510,0</v>
      </c>
      <c r="P56" s="17" t="str">
        <f>"313,2420"</f>
        <v>313,2420</v>
      </c>
      <c r="Q56" s="14" t="s">
        <v>158</v>
      </c>
    </row>
    <row r="57" spans="1:17">
      <c r="A57" s="17" t="s">
        <v>62</v>
      </c>
      <c r="B57" s="14" t="s">
        <v>2250</v>
      </c>
      <c r="C57" s="14" t="s">
        <v>2251</v>
      </c>
      <c r="D57" s="14" t="s">
        <v>1168</v>
      </c>
      <c r="E57" s="14" t="str">
        <f>"0,6183"</f>
        <v>0,6183</v>
      </c>
      <c r="F57" s="14" t="s">
        <v>125</v>
      </c>
      <c r="G57" s="16" t="s">
        <v>398</v>
      </c>
      <c r="H57" s="15" t="s">
        <v>398</v>
      </c>
      <c r="I57" s="16" t="s">
        <v>392</v>
      </c>
      <c r="J57" s="17"/>
      <c r="K57" s="16" t="s">
        <v>421</v>
      </c>
      <c r="L57" s="15" t="s">
        <v>421</v>
      </c>
      <c r="M57" s="17"/>
      <c r="N57" s="17"/>
      <c r="O57" s="40" t="str">
        <f>"410,0"</f>
        <v>410,0</v>
      </c>
      <c r="P57" s="17" t="str">
        <f>"253,5030"</f>
        <v>253,5030</v>
      </c>
      <c r="Q57" s="14" t="s">
        <v>126</v>
      </c>
    </row>
    <row r="58" spans="1:17">
      <c r="A58" s="17" t="s">
        <v>73</v>
      </c>
      <c r="B58" s="14" t="s">
        <v>1814</v>
      </c>
      <c r="C58" s="14" t="s">
        <v>1815</v>
      </c>
      <c r="D58" s="14" t="s">
        <v>1816</v>
      </c>
      <c r="E58" s="14" t="str">
        <f>"0,6229"</f>
        <v>0,6229</v>
      </c>
      <c r="F58" s="14" t="s">
        <v>1817</v>
      </c>
      <c r="G58" s="15" t="s">
        <v>145</v>
      </c>
      <c r="H58" s="16" t="s">
        <v>71</v>
      </c>
      <c r="I58" s="16" t="s">
        <v>71</v>
      </c>
      <c r="J58" s="17"/>
      <c r="K58" s="15" t="s">
        <v>421</v>
      </c>
      <c r="L58" s="15" t="s">
        <v>422</v>
      </c>
      <c r="M58" s="16" t="s">
        <v>627</v>
      </c>
      <c r="N58" s="17"/>
      <c r="O58" s="40" t="str">
        <f>"365,0"</f>
        <v>365,0</v>
      </c>
      <c r="P58" s="17" t="str">
        <f>"227,3585"</f>
        <v>227,3585</v>
      </c>
      <c r="Q58" s="14" t="s">
        <v>799</v>
      </c>
    </row>
    <row r="59" spans="1:17">
      <c r="A59" s="17" t="s">
        <v>75</v>
      </c>
      <c r="B59" s="14" t="s">
        <v>1822</v>
      </c>
      <c r="C59" s="14" t="s">
        <v>1823</v>
      </c>
      <c r="D59" s="14" t="s">
        <v>1193</v>
      </c>
      <c r="E59" s="14" t="str">
        <f>"0,6131"</f>
        <v>0,6131</v>
      </c>
      <c r="F59" s="14" t="s">
        <v>1824</v>
      </c>
      <c r="G59" s="15" t="s">
        <v>69</v>
      </c>
      <c r="H59" s="16" t="s">
        <v>70</v>
      </c>
      <c r="I59" s="15" t="s">
        <v>70</v>
      </c>
      <c r="J59" s="17"/>
      <c r="K59" s="16" t="s">
        <v>374</v>
      </c>
      <c r="L59" s="16" t="s">
        <v>420</v>
      </c>
      <c r="M59" s="15" t="s">
        <v>420</v>
      </c>
      <c r="N59" s="17"/>
      <c r="O59" s="40" t="str">
        <f>"340,0"</f>
        <v>340,0</v>
      </c>
      <c r="P59" s="17" t="str">
        <f>"208,4540"</f>
        <v>208,4540</v>
      </c>
      <c r="Q59" s="14" t="s">
        <v>158</v>
      </c>
    </row>
    <row r="60" spans="1:17">
      <c r="A60" s="17" t="s">
        <v>15</v>
      </c>
      <c r="B60" s="14" t="s">
        <v>709</v>
      </c>
      <c r="C60" s="14" t="s">
        <v>710</v>
      </c>
      <c r="D60" s="14" t="s">
        <v>711</v>
      </c>
      <c r="E60" s="14" t="str">
        <f>"0,6091"</f>
        <v>0,6091</v>
      </c>
      <c r="F60" s="14" t="s">
        <v>166</v>
      </c>
      <c r="G60" s="15" t="s">
        <v>209</v>
      </c>
      <c r="H60" s="15" t="s">
        <v>147</v>
      </c>
      <c r="I60" s="15" t="s">
        <v>58</v>
      </c>
      <c r="J60" s="17"/>
      <c r="K60" s="15" t="s">
        <v>384</v>
      </c>
      <c r="L60" s="15" t="s">
        <v>420</v>
      </c>
      <c r="M60" s="16" t="s">
        <v>442</v>
      </c>
      <c r="N60" s="17"/>
      <c r="O60" s="40" t="str">
        <f>"360,0"</f>
        <v>360,0</v>
      </c>
      <c r="P60" s="17" t="str">
        <f>"225,4157"</f>
        <v>225,4157</v>
      </c>
      <c r="Q60" s="14" t="s">
        <v>712</v>
      </c>
    </row>
    <row r="61" spans="1:17">
      <c r="A61" s="17" t="s">
        <v>15</v>
      </c>
      <c r="B61" s="14" t="s">
        <v>2159</v>
      </c>
      <c r="C61" s="14" t="s">
        <v>2160</v>
      </c>
      <c r="D61" s="14" t="s">
        <v>2161</v>
      </c>
      <c r="E61" s="14" t="str">
        <f>"0,6257"</f>
        <v>0,6257</v>
      </c>
      <c r="F61" s="14" t="s">
        <v>2162</v>
      </c>
      <c r="G61" s="15" t="s">
        <v>71</v>
      </c>
      <c r="H61" s="15" t="s">
        <v>147</v>
      </c>
      <c r="I61" s="15" t="s">
        <v>59</v>
      </c>
      <c r="J61" s="17"/>
      <c r="K61" s="15" t="s">
        <v>421</v>
      </c>
      <c r="L61" s="15" t="s">
        <v>422</v>
      </c>
      <c r="M61" s="15" t="s">
        <v>627</v>
      </c>
      <c r="N61" s="17"/>
      <c r="O61" s="40" t="str">
        <f>"390,0"</f>
        <v>390,0</v>
      </c>
      <c r="P61" s="17" t="str">
        <f>"289,6553"</f>
        <v>289,6553</v>
      </c>
      <c r="Q61" s="14" t="s">
        <v>2163</v>
      </c>
    </row>
    <row r="62" spans="1:17">
      <c r="A62" s="20" t="s">
        <v>62</v>
      </c>
      <c r="B62" s="18" t="s">
        <v>1208</v>
      </c>
      <c r="C62" s="18" t="s">
        <v>1209</v>
      </c>
      <c r="D62" s="18" t="s">
        <v>1210</v>
      </c>
      <c r="E62" s="18" t="str">
        <f>"0,6088"</f>
        <v>0,6088</v>
      </c>
      <c r="F62" s="18" t="s">
        <v>602</v>
      </c>
      <c r="G62" s="19" t="s">
        <v>398</v>
      </c>
      <c r="H62" s="22" t="s">
        <v>392</v>
      </c>
      <c r="I62" s="20"/>
      <c r="J62" s="20"/>
      <c r="K62" s="19" t="s">
        <v>38</v>
      </c>
      <c r="L62" s="20"/>
      <c r="M62" s="20"/>
      <c r="N62" s="20"/>
      <c r="O62" s="38" t="str">
        <f>"280,0"</f>
        <v>280,0</v>
      </c>
      <c r="P62" s="20" t="str">
        <f>"205,7500"</f>
        <v>205,7500</v>
      </c>
      <c r="Q62" s="18" t="s">
        <v>158</v>
      </c>
    </row>
    <row r="63" spans="1:17">
      <c r="B63" s="5" t="s">
        <v>40</v>
      </c>
    </row>
    <row r="64" spans="1:17" ht="15.95">
      <c r="A64" s="102" t="s">
        <v>724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</row>
    <row r="65" spans="1:17">
      <c r="A65" s="13" t="s">
        <v>15</v>
      </c>
      <c r="B65" s="11" t="s">
        <v>1247</v>
      </c>
      <c r="C65" s="11" t="s">
        <v>1248</v>
      </c>
      <c r="D65" s="11" t="s">
        <v>1249</v>
      </c>
      <c r="E65" s="11" t="str">
        <f>"0,5902"</f>
        <v>0,5902</v>
      </c>
      <c r="F65" s="11" t="s">
        <v>2252</v>
      </c>
      <c r="G65" s="12" t="s">
        <v>374</v>
      </c>
      <c r="H65" s="12" t="s">
        <v>384</v>
      </c>
      <c r="I65" s="21" t="s">
        <v>436</v>
      </c>
      <c r="J65" s="13"/>
      <c r="K65" s="21" t="s">
        <v>804</v>
      </c>
      <c r="L65" s="12" t="s">
        <v>804</v>
      </c>
      <c r="M65" s="21" t="s">
        <v>1086</v>
      </c>
      <c r="N65" s="13"/>
      <c r="O65" s="37" t="str">
        <f>"510,0"</f>
        <v>510,0</v>
      </c>
      <c r="P65" s="13" t="str">
        <f>"301,0020"</f>
        <v>301,0020</v>
      </c>
      <c r="Q65" s="11" t="s">
        <v>158</v>
      </c>
    </row>
    <row r="66" spans="1:17">
      <c r="A66" s="17" t="s">
        <v>62</v>
      </c>
      <c r="B66" s="14" t="s">
        <v>1270</v>
      </c>
      <c r="C66" s="14" t="s">
        <v>1271</v>
      </c>
      <c r="D66" s="14" t="s">
        <v>1272</v>
      </c>
      <c r="E66" s="14" t="str">
        <f>"0,5935"</f>
        <v>0,5935</v>
      </c>
      <c r="F66" s="14" t="s">
        <v>176</v>
      </c>
      <c r="G66" s="15" t="s">
        <v>436</v>
      </c>
      <c r="H66" s="15" t="s">
        <v>442</v>
      </c>
      <c r="I66" s="16" t="s">
        <v>421</v>
      </c>
      <c r="J66" s="17"/>
      <c r="K66" s="15" t="s">
        <v>640</v>
      </c>
      <c r="L66" s="15" t="s">
        <v>738</v>
      </c>
      <c r="M66" s="16" t="s">
        <v>745</v>
      </c>
      <c r="N66" s="17"/>
      <c r="O66" s="40" t="str">
        <f>"505,0"</f>
        <v>505,0</v>
      </c>
      <c r="P66" s="17" t="str">
        <f>"299,7175"</f>
        <v>299,7175</v>
      </c>
      <c r="Q66" s="14" t="s">
        <v>158</v>
      </c>
    </row>
    <row r="67" spans="1:17">
      <c r="A67" s="17" t="s">
        <v>73</v>
      </c>
      <c r="B67" s="14" t="s">
        <v>1239</v>
      </c>
      <c r="C67" s="14" t="s">
        <v>735</v>
      </c>
      <c r="D67" s="14" t="s">
        <v>1240</v>
      </c>
      <c r="E67" s="14" t="str">
        <f>"0,5885"</f>
        <v>0,5885</v>
      </c>
      <c r="F67" s="14" t="s">
        <v>1041</v>
      </c>
      <c r="G67" s="15" t="s">
        <v>454</v>
      </c>
      <c r="H67" s="15" t="s">
        <v>743</v>
      </c>
      <c r="I67" s="15" t="s">
        <v>455</v>
      </c>
      <c r="J67" s="17"/>
      <c r="K67" s="16" t="s">
        <v>822</v>
      </c>
      <c r="L67" s="15" t="s">
        <v>822</v>
      </c>
      <c r="M67" s="15" t="s">
        <v>1241</v>
      </c>
      <c r="N67" s="17"/>
      <c r="O67" s="40" t="str">
        <f>"505,0"</f>
        <v>505,0</v>
      </c>
      <c r="P67" s="17" t="str">
        <f>"297,1925"</f>
        <v>297,1925</v>
      </c>
      <c r="Q67" s="14" t="s">
        <v>1242</v>
      </c>
    </row>
    <row r="68" spans="1:17">
      <c r="A68" s="17" t="s">
        <v>75</v>
      </c>
      <c r="B68" s="14" t="s">
        <v>2253</v>
      </c>
      <c r="C68" s="14" t="s">
        <v>2254</v>
      </c>
      <c r="D68" s="14" t="s">
        <v>1888</v>
      </c>
      <c r="E68" s="14" t="str">
        <f>"0,5945"</f>
        <v>0,5945</v>
      </c>
      <c r="F68" s="14" t="s">
        <v>2255</v>
      </c>
      <c r="G68" s="16" t="s">
        <v>60</v>
      </c>
      <c r="H68" s="15" t="s">
        <v>60</v>
      </c>
      <c r="I68" s="17"/>
      <c r="J68" s="17"/>
      <c r="K68" s="15" t="s">
        <v>523</v>
      </c>
      <c r="L68" s="15" t="s">
        <v>738</v>
      </c>
      <c r="M68" s="16" t="s">
        <v>804</v>
      </c>
      <c r="N68" s="17"/>
      <c r="O68" s="40" t="str">
        <f>"430,0"</f>
        <v>430,0</v>
      </c>
      <c r="P68" s="17" t="str">
        <f>"255,6350"</f>
        <v>255,6350</v>
      </c>
      <c r="Q68" s="14" t="s">
        <v>158</v>
      </c>
    </row>
    <row r="69" spans="1:17">
      <c r="A69" s="17" t="s">
        <v>87</v>
      </c>
      <c r="B69" s="14" t="s">
        <v>2256</v>
      </c>
      <c r="C69" s="14" t="s">
        <v>2257</v>
      </c>
      <c r="D69" s="14" t="s">
        <v>1847</v>
      </c>
      <c r="E69" s="14" t="str">
        <f>"0,5956"</f>
        <v>0,5956</v>
      </c>
      <c r="F69" s="14" t="s">
        <v>134</v>
      </c>
      <c r="G69" s="15" t="s">
        <v>152</v>
      </c>
      <c r="H69" s="15" t="s">
        <v>248</v>
      </c>
      <c r="I69" s="15" t="s">
        <v>351</v>
      </c>
      <c r="J69" s="17"/>
      <c r="K69" s="15" t="s">
        <v>459</v>
      </c>
      <c r="L69" s="15" t="s">
        <v>490</v>
      </c>
      <c r="M69" s="16" t="s">
        <v>738</v>
      </c>
      <c r="N69" s="17"/>
      <c r="O69" s="40" t="str">
        <f>"425,0"</f>
        <v>425,0</v>
      </c>
      <c r="P69" s="17" t="str">
        <f>"253,1300"</f>
        <v>253,1300</v>
      </c>
      <c r="Q69" s="14" t="s">
        <v>2258</v>
      </c>
    </row>
    <row r="70" spans="1:17">
      <c r="A70" s="17" t="s">
        <v>15</v>
      </c>
      <c r="B70" s="14" t="s">
        <v>2259</v>
      </c>
      <c r="C70" s="14" t="s">
        <v>2260</v>
      </c>
      <c r="D70" s="14" t="s">
        <v>749</v>
      </c>
      <c r="E70" s="14" t="str">
        <f>"0,5932"</f>
        <v>0,5932</v>
      </c>
      <c r="F70" s="14" t="s">
        <v>91</v>
      </c>
      <c r="G70" s="15" t="s">
        <v>454</v>
      </c>
      <c r="H70" s="15" t="s">
        <v>374</v>
      </c>
      <c r="I70" s="16" t="s">
        <v>743</v>
      </c>
      <c r="J70" s="17"/>
      <c r="K70" s="16" t="s">
        <v>523</v>
      </c>
      <c r="L70" s="15" t="s">
        <v>523</v>
      </c>
      <c r="M70" s="15" t="s">
        <v>640</v>
      </c>
      <c r="N70" s="17"/>
      <c r="O70" s="40" t="str">
        <f>"470,0"</f>
        <v>470,0</v>
      </c>
      <c r="P70" s="17" t="str">
        <f>"282,7073"</f>
        <v>282,7073</v>
      </c>
      <c r="Q70" s="14" t="s">
        <v>158</v>
      </c>
    </row>
    <row r="71" spans="1:17">
      <c r="A71" s="17" t="s">
        <v>62</v>
      </c>
      <c r="B71" s="14" t="s">
        <v>774</v>
      </c>
      <c r="C71" s="14" t="s">
        <v>775</v>
      </c>
      <c r="D71" s="14" t="s">
        <v>776</v>
      </c>
      <c r="E71" s="14" t="str">
        <f>"0,5910"</f>
        <v>0,5910</v>
      </c>
      <c r="F71" s="14" t="s">
        <v>602</v>
      </c>
      <c r="G71" s="15" t="s">
        <v>60</v>
      </c>
      <c r="H71" s="15" t="s">
        <v>151</v>
      </c>
      <c r="I71" s="15" t="s">
        <v>248</v>
      </c>
      <c r="J71" s="17"/>
      <c r="K71" s="16" t="s">
        <v>374</v>
      </c>
      <c r="L71" s="15" t="s">
        <v>374</v>
      </c>
      <c r="M71" s="16" t="s">
        <v>384</v>
      </c>
      <c r="N71" s="17"/>
      <c r="O71" s="40" t="str">
        <f>"370,0"</f>
        <v>370,0</v>
      </c>
      <c r="P71" s="17" t="str">
        <f>"228,2915"</f>
        <v>228,2915</v>
      </c>
      <c r="Q71" s="14" t="s">
        <v>158</v>
      </c>
    </row>
    <row r="72" spans="1:17">
      <c r="A72" s="20" t="s">
        <v>73</v>
      </c>
      <c r="B72" s="18" t="s">
        <v>2261</v>
      </c>
      <c r="C72" s="18" t="s">
        <v>2262</v>
      </c>
      <c r="D72" s="18" t="s">
        <v>1240</v>
      </c>
      <c r="E72" s="18" t="str">
        <f>"0,5885"</f>
        <v>0,5885</v>
      </c>
      <c r="F72" s="18" t="s">
        <v>2263</v>
      </c>
      <c r="G72" s="19" t="s">
        <v>351</v>
      </c>
      <c r="H72" s="19" t="s">
        <v>392</v>
      </c>
      <c r="I72" s="22" t="s">
        <v>374</v>
      </c>
      <c r="J72" s="20"/>
      <c r="K72" s="19" t="s">
        <v>21</v>
      </c>
      <c r="L72" s="20"/>
      <c r="M72" s="20"/>
      <c r="N72" s="20"/>
      <c r="O72" s="38" t="str">
        <f>"230,0"</f>
        <v>230,0</v>
      </c>
      <c r="P72" s="20" t="str">
        <f>"135,3550"</f>
        <v>135,3550</v>
      </c>
      <c r="Q72" s="18" t="s">
        <v>158</v>
      </c>
    </row>
    <row r="73" spans="1:17">
      <c r="B73" s="5" t="s">
        <v>40</v>
      </c>
    </row>
    <row r="74" spans="1:17" ht="15.95">
      <c r="A74" s="102" t="s">
        <v>783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</row>
    <row r="75" spans="1:17">
      <c r="A75" s="13" t="s">
        <v>15</v>
      </c>
      <c r="B75" s="11" t="s">
        <v>2264</v>
      </c>
      <c r="C75" s="11" t="s">
        <v>2265</v>
      </c>
      <c r="D75" s="11" t="s">
        <v>2266</v>
      </c>
      <c r="E75" s="11" t="str">
        <f>"0,5769"</f>
        <v>0,5769</v>
      </c>
      <c r="F75" s="11" t="s">
        <v>91</v>
      </c>
      <c r="G75" s="12" t="s">
        <v>151</v>
      </c>
      <c r="H75" s="12" t="s">
        <v>248</v>
      </c>
      <c r="I75" s="12" t="s">
        <v>398</v>
      </c>
      <c r="J75" s="13"/>
      <c r="K75" s="12" t="s">
        <v>523</v>
      </c>
      <c r="L75" s="12" t="s">
        <v>745</v>
      </c>
      <c r="M75" s="12" t="s">
        <v>804</v>
      </c>
      <c r="N75" s="13"/>
      <c r="O75" s="37" t="str">
        <f>"480,0"</f>
        <v>480,0</v>
      </c>
      <c r="P75" s="13" t="str">
        <f>"276,9120"</f>
        <v>276,9120</v>
      </c>
      <c r="Q75" s="11" t="s">
        <v>158</v>
      </c>
    </row>
    <row r="76" spans="1:17">
      <c r="A76" s="17" t="s">
        <v>15</v>
      </c>
      <c r="B76" s="14" t="s">
        <v>1280</v>
      </c>
      <c r="C76" s="14" t="s">
        <v>1281</v>
      </c>
      <c r="D76" s="14" t="s">
        <v>1282</v>
      </c>
      <c r="E76" s="14" t="str">
        <f>"0,5707"</f>
        <v>0,5707</v>
      </c>
      <c r="F76" s="14" t="s">
        <v>1283</v>
      </c>
      <c r="G76" s="15" t="s">
        <v>420</v>
      </c>
      <c r="H76" s="15" t="s">
        <v>421</v>
      </c>
      <c r="I76" s="16" t="s">
        <v>422</v>
      </c>
      <c r="J76" s="17"/>
      <c r="K76" s="15" t="s">
        <v>1043</v>
      </c>
      <c r="L76" s="15" t="s">
        <v>1086</v>
      </c>
      <c r="M76" s="16" t="s">
        <v>1151</v>
      </c>
      <c r="N76" s="17"/>
      <c r="O76" s="40" t="str">
        <f>"550,0"</f>
        <v>550,0</v>
      </c>
      <c r="P76" s="17" t="str">
        <f>"313,8850"</f>
        <v>313,8850</v>
      </c>
      <c r="Q76" s="14" t="s">
        <v>158</v>
      </c>
    </row>
    <row r="77" spans="1:17">
      <c r="A77" s="17" t="s">
        <v>62</v>
      </c>
      <c r="B77" s="14" t="s">
        <v>1911</v>
      </c>
      <c r="C77" s="14" t="s">
        <v>1912</v>
      </c>
      <c r="D77" s="14" t="s">
        <v>1913</v>
      </c>
      <c r="E77" s="14" t="str">
        <f>"0,5786"</f>
        <v>0,5786</v>
      </c>
      <c r="F77" s="14" t="s">
        <v>594</v>
      </c>
      <c r="G77" s="15" t="s">
        <v>422</v>
      </c>
      <c r="H77" s="15" t="s">
        <v>490</v>
      </c>
      <c r="I77" s="16" t="s">
        <v>529</v>
      </c>
      <c r="J77" s="17"/>
      <c r="K77" s="15" t="s">
        <v>529</v>
      </c>
      <c r="L77" s="15" t="s">
        <v>754</v>
      </c>
      <c r="M77" s="15" t="s">
        <v>822</v>
      </c>
      <c r="N77" s="17"/>
      <c r="O77" s="40" t="str">
        <f>"540,0"</f>
        <v>540,0</v>
      </c>
      <c r="P77" s="17" t="str">
        <f>"312,4440"</f>
        <v>312,4440</v>
      </c>
      <c r="Q77" s="14" t="s">
        <v>158</v>
      </c>
    </row>
    <row r="78" spans="1:17">
      <c r="A78" s="17" t="s">
        <v>73</v>
      </c>
      <c r="B78" s="14" t="s">
        <v>2267</v>
      </c>
      <c r="C78" s="14" t="s">
        <v>2268</v>
      </c>
      <c r="D78" s="14" t="s">
        <v>2269</v>
      </c>
      <c r="E78" s="14" t="str">
        <f>"0,5813"</f>
        <v>0,5813</v>
      </c>
      <c r="F78" s="14" t="s">
        <v>728</v>
      </c>
      <c r="G78" s="15" t="s">
        <v>392</v>
      </c>
      <c r="H78" s="15" t="s">
        <v>374</v>
      </c>
      <c r="I78" s="15" t="s">
        <v>384</v>
      </c>
      <c r="J78" s="17"/>
      <c r="K78" s="15" t="s">
        <v>804</v>
      </c>
      <c r="L78" s="15" t="s">
        <v>1086</v>
      </c>
      <c r="M78" s="16" t="s">
        <v>842</v>
      </c>
      <c r="N78" s="17"/>
      <c r="O78" s="40" t="str">
        <f>"530,0"</f>
        <v>530,0</v>
      </c>
      <c r="P78" s="17" t="str">
        <f>"308,0890"</f>
        <v>308,0890</v>
      </c>
      <c r="Q78" s="14" t="s">
        <v>2270</v>
      </c>
    </row>
    <row r="79" spans="1:17">
      <c r="A79" s="17" t="s">
        <v>75</v>
      </c>
      <c r="B79" s="14" t="s">
        <v>2271</v>
      </c>
      <c r="C79" s="14" t="s">
        <v>2272</v>
      </c>
      <c r="D79" s="14" t="s">
        <v>2273</v>
      </c>
      <c r="E79" s="14" t="str">
        <f>"0,5855"</f>
        <v>0,5855</v>
      </c>
      <c r="F79" s="14" t="s">
        <v>426</v>
      </c>
      <c r="G79" s="15" t="s">
        <v>374</v>
      </c>
      <c r="H79" s="15" t="s">
        <v>399</v>
      </c>
      <c r="I79" s="15" t="s">
        <v>384</v>
      </c>
      <c r="J79" s="17"/>
      <c r="K79" s="15" t="s">
        <v>822</v>
      </c>
      <c r="L79" s="15" t="s">
        <v>1030</v>
      </c>
      <c r="M79" s="16" t="s">
        <v>1086</v>
      </c>
      <c r="N79" s="17"/>
      <c r="O79" s="40" t="str">
        <f>"515,0"</f>
        <v>515,0</v>
      </c>
      <c r="P79" s="17" t="str">
        <f>"301,5325"</f>
        <v>301,5325</v>
      </c>
      <c r="Q79" s="14" t="s">
        <v>158</v>
      </c>
    </row>
    <row r="80" spans="1:17">
      <c r="A80" s="17" t="s">
        <v>87</v>
      </c>
      <c r="B80" s="14" t="s">
        <v>1293</v>
      </c>
      <c r="C80" s="14" t="s">
        <v>1294</v>
      </c>
      <c r="D80" s="14" t="s">
        <v>1295</v>
      </c>
      <c r="E80" s="14" t="str">
        <f>"0,5698"</f>
        <v>0,5698</v>
      </c>
      <c r="F80" s="14" t="s">
        <v>1296</v>
      </c>
      <c r="G80" s="15" t="s">
        <v>374</v>
      </c>
      <c r="H80" s="16" t="s">
        <v>384</v>
      </c>
      <c r="I80" s="16" t="s">
        <v>495</v>
      </c>
      <c r="J80" s="17"/>
      <c r="K80" s="15" t="s">
        <v>822</v>
      </c>
      <c r="L80" s="15" t="s">
        <v>1043</v>
      </c>
      <c r="M80" s="15" t="s">
        <v>1078</v>
      </c>
      <c r="N80" s="17"/>
      <c r="O80" s="40" t="str">
        <f>"515,0"</f>
        <v>515,0</v>
      </c>
      <c r="P80" s="17" t="str">
        <f>"293,4470"</f>
        <v>293,4470</v>
      </c>
      <c r="Q80" s="14" t="s">
        <v>158</v>
      </c>
    </row>
    <row r="81" spans="1:17">
      <c r="A81" s="17" t="s">
        <v>168</v>
      </c>
      <c r="B81" s="14" t="s">
        <v>2264</v>
      </c>
      <c r="C81" s="14" t="s">
        <v>2274</v>
      </c>
      <c r="D81" s="14" t="s">
        <v>2266</v>
      </c>
      <c r="E81" s="14" t="str">
        <f>"0,5769"</f>
        <v>0,5769</v>
      </c>
      <c r="F81" s="14" t="s">
        <v>91</v>
      </c>
      <c r="G81" s="15" t="s">
        <v>151</v>
      </c>
      <c r="H81" s="15" t="s">
        <v>248</v>
      </c>
      <c r="I81" s="15" t="s">
        <v>398</v>
      </c>
      <c r="J81" s="17"/>
      <c r="K81" s="15" t="s">
        <v>523</v>
      </c>
      <c r="L81" s="15" t="s">
        <v>745</v>
      </c>
      <c r="M81" s="15" t="s">
        <v>804</v>
      </c>
      <c r="N81" s="17"/>
      <c r="O81" s="40" t="str">
        <f>"480,0"</f>
        <v>480,0</v>
      </c>
      <c r="P81" s="17" t="str">
        <f>"276,9120"</f>
        <v>276,9120</v>
      </c>
      <c r="Q81" s="14" t="s">
        <v>158</v>
      </c>
    </row>
    <row r="82" spans="1:17">
      <c r="A82" s="17" t="s">
        <v>172</v>
      </c>
      <c r="B82" s="14" t="s">
        <v>2275</v>
      </c>
      <c r="C82" s="14" t="s">
        <v>2276</v>
      </c>
      <c r="D82" s="14" t="s">
        <v>2277</v>
      </c>
      <c r="E82" s="14" t="str">
        <f>"0,5796"</f>
        <v>0,5796</v>
      </c>
      <c r="F82" s="14" t="s">
        <v>1300</v>
      </c>
      <c r="G82" s="15" t="s">
        <v>454</v>
      </c>
      <c r="H82" s="16" t="s">
        <v>383</v>
      </c>
      <c r="I82" s="17"/>
      <c r="J82" s="17"/>
      <c r="K82" s="15" t="s">
        <v>459</v>
      </c>
      <c r="L82" s="15" t="s">
        <v>627</v>
      </c>
      <c r="M82" s="16" t="s">
        <v>431</v>
      </c>
      <c r="N82" s="17"/>
      <c r="O82" s="40" t="str">
        <f>"437,5"</f>
        <v>437,5</v>
      </c>
      <c r="P82" s="17" t="str">
        <f>"253,5750"</f>
        <v>253,5750</v>
      </c>
      <c r="Q82" s="14" t="s">
        <v>158</v>
      </c>
    </row>
    <row r="83" spans="1:17">
      <c r="A83" s="17" t="s">
        <v>178</v>
      </c>
      <c r="B83" s="14" t="s">
        <v>2278</v>
      </c>
      <c r="C83" s="14" t="s">
        <v>2279</v>
      </c>
      <c r="D83" s="14" t="s">
        <v>1962</v>
      </c>
      <c r="E83" s="14" t="str">
        <f>"0,5748"</f>
        <v>0,5748</v>
      </c>
      <c r="F83" s="14" t="s">
        <v>2280</v>
      </c>
      <c r="G83" s="15" t="s">
        <v>145</v>
      </c>
      <c r="H83" s="16" t="s">
        <v>209</v>
      </c>
      <c r="I83" s="16" t="s">
        <v>58</v>
      </c>
      <c r="J83" s="17"/>
      <c r="K83" s="15" t="s">
        <v>523</v>
      </c>
      <c r="L83" s="15" t="s">
        <v>738</v>
      </c>
      <c r="M83" s="16" t="s">
        <v>804</v>
      </c>
      <c r="N83" s="17"/>
      <c r="O83" s="40" t="str">
        <f>"405,0"</f>
        <v>405,0</v>
      </c>
      <c r="P83" s="17" t="str">
        <f>"232,7940"</f>
        <v>232,7940</v>
      </c>
      <c r="Q83" s="14" t="s">
        <v>158</v>
      </c>
    </row>
    <row r="84" spans="1:17">
      <c r="A84" s="17" t="s">
        <v>92</v>
      </c>
      <c r="B84" s="14" t="s">
        <v>1965</v>
      </c>
      <c r="C84" s="14" t="s">
        <v>1966</v>
      </c>
      <c r="D84" s="14" t="s">
        <v>1931</v>
      </c>
      <c r="E84" s="14" t="str">
        <f>"0,5742"</f>
        <v>0,5742</v>
      </c>
      <c r="F84" s="14" t="s">
        <v>156</v>
      </c>
      <c r="G84" s="15" t="s">
        <v>374</v>
      </c>
      <c r="H84" s="16" t="s">
        <v>455</v>
      </c>
      <c r="I84" s="16" t="s">
        <v>384</v>
      </c>
      <c r="J84" s="17"/>
      <c r="K84" s="16" t="s">
        <v>1043</v>
      </c>
      <c r="L84" s="16" t="s">
        <v>1043</v>
      </c>
      <c r="M84" s="16" t="s">
        <v>1043</v>
      </c>
      <c r="N84" s="17"/>
      <c r="O84" s="40">
        <v>0</v>
      </c>
      <c r="P84" s="17" t="str">
        <f>"0,0000"</f>
        <v>0,0000</v>
      </c>
      <c r="Q84" s="14" t="s">
        <v>158</v>
      </c>
    </row>
    <row r="85" spans="1:17">
      <c r="A85" s="17" t="s">
        <v>15</v>
      </c>
      <c r="B85" s="14" t="s">
        <v>1293</v>
      </c>
      <c r="C85" s="14" t="s">
        <v>1316</v>
      </c>
      <c r="D85" s="14" t="s">
        <v>1295</v>
      </c>
      <c r="E85" s="14" t="str">
        <f>"0,5698"</f>
        <v>0,5698</v>
      </c>
      <c r="F85" s="14" t="s">
        <v>1296</v>
      </c>
      <c r="G85" s="15" t="s">
        <v>374</v>
      </c>
      <c r="H85" s="16" t="s">
        <v>384</v>
      </c>
      <c r="I85" s="16" t="s">
        <v>495</v>
      </c>
      <c r="J85" s="17"/>
      <c r="K85" s="15" t="s">
        <v>822</v>
      </c>
      <c r="L85" s="15" t="s">
        <v>1043</v>
      </c>
      <c r="M85" s="15" t="s">
        <v>1078</v>
      </c>
      <c r="N85" s="17"/>
      <c r="O85" s="40" t="str">
        <f>"515,0"</f>
        <v>515,0</v>
      </c>
      <c r="P85" s="17" t="str">
        <f>"297,5553"</f>
        <v>297,5553</v>
      </c>
      <c r="Q85" s="14" t="s">
        <v>158</v>
      </c>
    </row>
    <row r="86" spans="1:17">
      <c r="A86" s="17" t="s">
        <v>62</v>
      </c>
      <c r="B86" s="14" t="s">
        <v>1971</v>
      </c>
      <c r="C86" s="14" t="s">
        <v>1972</v>
      </c>
      <c r="D86" s="14" t="s">
        <v>1973</v>
      </c>
      <c r="E86" s="14" t="str">
        <f>"0,5819"</f>
        <v>0,5819</v>
      </c>
      <c r="F86" s="14" t="s">
        <v>602</v>
      </c>
      <c r="G86" s="15" t="s">
        <v>58</v>
      </c>
      <c r="H86" s="16" t="s">
        <v>205</v>
      </c>
      <c r="I86" s="15" t="s">
        <v>151</v>
      </c>
      <c r="J86" s="17"/>
      <c r="K86" s="15" t="s">
        <v>384</v>
      </c>
      <c r="L86" s="16" t="s">
        <v>421</v>
      </c>
      <c r="M86" s="16" t="s">
        <v>421</v>
      </c>
      <c r="N86" s="17"/>
      <c r="O86" s="40" t="str">
        <f>"370,0"</f>
        <v>370,0</v>
      </c>
      <c r="P86" s="17" t="str">
        <f>"216,3795"</f>
        <v>216,3795</v>
      </c>
      <c r="Q86" s="14" t="s">
        <v>158</v>
      </c>
    </row>
    <row r="87" spans="1:17">
      <c r="A87" s="20" t="s">
        <v>15</v>
      </c>
      <c r="B87" s="18" t="s">
        <v>1979</v>
      </c>
      <c r="C87" s="18" t="s">
        <v>1980</v>
      </c>
      <c r="D87" s="18" t="s">
        <v>1981</v>
      </c>
      <c r="E87" s="18" t="str">
        <f>"0,5846"</f>
        <v>0,5846</v>
      </c>
      <c r="F87" s="18" t="s">
        <v>1238</v>
      </c>
      <c r="G87" s="19" t="s">
        <v>209</v>
      </c>
      <c r="H87" s="19" t="s">
        <v>58</v>
      </c>
      <c r="I87" s="19" t="s">
        <v>346</v>
      </c>
      <c r="J87" s="20"/>
      <c r="K87" s="19" t="s">
        <v>452</v>
      </c>
      <c r="L87" s="19" t="s">
        <v>454</v>
      </c>
      <c r="M87" s="19" t="s">
        <v>374</v>
      </c>
      <c r="N87" s="20"/>
      <c r="O87" s="38" t="str">
        <f>"342,5"</f>
        <v>342,5</v>
      </c>
      <c r="P87" s="20" t="str">
        <f>"276,3112"</f>
        <v>276,3112</v>
      </c>
      <c r="Q87" s="18" t="s">
        <v>158</v>
      </c>
    </row>
    <row r="88" spans="1:17">
      <c r="B88" s="5" t="s">
        <v>40</v>
      </c>
    </row>
    <row r="89" spans="1:17" ht="15.95">
      <c r="A89" s="102" t="s">
        <v>794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</row>
    <row r="90" spans="1:17">
      <c r="A90" s="10" t="s">
        <v>15</v>
      </c>
      <c r="B90" s="7" t="s">
        <v>800</v>
      </c>
      <c r="C90" s="7" t="s">
        <v>801</v>
      </c>
      <c r="D90" s="7" t="s">
        <v>802</v>
      </c>
      <c r="E90" s="7" t="str">
        <f>"0,5662"</f>
        <v>0,5662</v>
      </c>
      <c r="F90" s="7" t="s">
        <v>690</v>
      </c>
      <c r="G90" s="8" t="s">
        <v>368</v>
      </c>
      <c r="H90" s="9" t="s">
        <v>506</v>
      </c>
      <c r="I90" s="9" t="s">
        <v>374</v>
      </c>
      <c r="J90" s="10"/>
      <c r="K90" s="8" t="s">
        <v>804</v>
      </c>
      <c r="L90" s="9" t="s">
        <v>805</v>
      </c>
      <c r="M90" s="8" t="s">
        <v>805</v>
      </c>
      <c r="N90" s="10"/>
      <c r="O90" s="41" t="str">
        <f>"507,5"</f>
        <v>507,5</v>
      </c>
      <c r="P90" s="10" t="str">
        <f>"287,3465"</f>
        <v>287,3465</v>
      </c>
      <c r="Q90" s="7" t="s">
        <v>158</v>
      </c>
    </row>
    <row r="91" spans="1:17">
      <c r="B91" s="5" t="s">
        <v>40</v>
      </c>
    </row>
    <row r="92" spans="1:17" ht="15.95">
      <c r="A92" s="102" t="s">
        <v>818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</row>
    <row r="93" spans="1:17">
      <c r="A93" s="10" t="s">
        <v>15</v>
      </c>
      <c r="B93" s="7" t="s">
        <v>2007</v>
      </c>
      <c r="C93" s="7" t="s">
        <v>2008</v>
      </c>
      <c r="D93" s="7" t="s">
        <v>2009</v>
      </c>
      <c r="E93" s="7" t="str">
        <f>"0,5543"</f>
        <v>0,5543</v>
      </c>
      <c r="F93" s="7" t="s">
        <v>1824</v>
      </c>
      <c r="G93" s="8" t="s">
        <v>38</v>
      </c>
      <c r="H93" s="9" t="s">
        <v>70</v>
      </c>
      <c r="I93" s="9" t="s">
        <v>70</v>
      </c>
      <c r="J93" s="10"/>
      <c r="K93" s="8" t="s">
        <v>70</v>
      </c>
      <c r="L93" s="8" t="s">
        <v>58</v>
      </c>
      <c r="M93" s="10"/>
      <c r="N93" s="10"/>
      <c r="O93" s="41" t="str">
        <f>"240,0"</f>
        <v>240,0</v>
      </c>
      <c r="P93" s="10" t="str">
        <f>"141,0139"</f>
        <v>141,0139</v>
      </c>
      <c r="Q93" s="7" t="s">
        <v>158</v>
      </c>
    </row>
    <row r="94" spans="1:17">
      <c r="B94" s="5" t="s">
        <v>40</v>
      </c>
    </row>
    <row r="97" spans="2:6" ht="18">
      <c r="B97" s="23" t="s">
        <v>830</v>
      </c>
      <c r="C97" s="23"/>
    </row>
    <row r="98" spans="2:6" ht="15.95">
      <c r="B98" s="95" t="s">
        <v>855</v>
      </c>
      <c r="C98" s="95"/>
    </row>
    <row r="99" spans="2:6" ht="14.1">
      <c r="B99" s="24"/>
      <c r="C99" s="24" t="s">
        <v>832</v>
      </c>
    </row>
    <row r="100" spans="2:6" ht="14.1">
      <c r="B100" s="4" t="s">
        <v>833</v>
      </c>
      <c r="C100" s="4" t="s">
        <v>834</v>
      </c>
      <c r="D100" s="4" t="s">
        <v>835</v>
      </c>
      <c r="E100" s="4" t="s">
        <v>836</v>
      </c>
      <c r="F100" s="4" t="s">
        <v>837</v>
      </c>
    </row>
    <row r="101" spans="2:6">
      <c r="B101" s="5" t="s">
        <v>1039</v>
      </c>
      <c r="C101" s="5" t="s">
        <v>832</v>
      </c>
      <c r="D101" s="6" t="s">
        <v>868</v>
      </c>
      <c r="E101" s="6" t="s">
        <v>2208</v>
      </c>
      <c r="F101" s="6" t="s">
        <v>2281</v>
      </c>
    </row>
    <row r="102" spans="2:6">
      <c r="B102" s="5" t="s">
        <v>996</v>
      </c>
      <c r="C102" s="5" t="s">
        <v>832</v>
      </c>
      <c r="D102" s="6" t="s">
        <v>861</v>
      </c>
      <c r="E102" s="6" t="s">
        <v>2282</v>
      </c>
      <c r="F102" s="6" t="s">
        <v>2283</v>
      </c>
    </row>
    <row r="103" spans="2:6">
      <c r="B103" s="5" t="s">
        <v>1709</v>
      </c>
      <c r="C103" s="5" t="s">
        <v>832</v>
      </c>
      <c r="D103" s="6" t="s">
        <v>858</v>
      </c>
      <c r="E103" s="6" t="s">
        <v>2208</v>
      </c>
      <c r="F103" s="6" t="s">
        <v>2284</v>
      </c>
    </row>
    <row r="105" spans="2:6" ht="14.1">
      <c r="B105" s="24"/>
      <c r="C105" s="24" t="s">
        <v>847</v>
      </c>
    </row>
    <row r="106" spans="2:6" ht="14.1">
      <c r="B106" s="4" t="s">
        <v>833</v>
      </c>
      <c r="C106" s="4" t="s">
        <v>834</v>
      </c>
      <c r="D106" s="4" t="s">
        <v>835</v>
      </c>
      <c r="E106" s="4" t="s">
        <v>836</v>
      </c>
      <c r="F106" s="4" t="s">
        <v>837</v>
      </c>
    </row>
    <row r="107" spans="2:6">
      <c r="B107" s="5" t="s">
        <v>2237</v>
      </c>
      <c r="C107" s="5" t="s">
        <v>887</v>
      </c>
      <c r="D107" s="6" t="s">
        <v>868</v>
      </c>
      <c r="E107" s="6" t="s">
        <v>1229</v>
      </c>
      <c r="F107" s="6" t="s">
        <v>2285</v>
      </c>
    </row>
    <row r="108" spans="2:6">
      <c r="B108" s="5" t="s">
        <v>1744</v>
      </c>
      <c r="C108" s="5" t="s">
        <v>884</v>
      </c>
      <c r="D108" s="6" t="s">
        <v>858</v>
      </c>
      <c r="E108" s="6" t="s">
        <v>882</v>
      </c>
      <c r="F108" s="6" t="s">
        <v>2286</v>
      </c>
    </row>
    <row r="109" spans="2:6">
      <c r="B109" s="5" t="s">
        <v>1715</v>
      </c>
      <c r="C109" s="5" t="s">
        <v>884</v>
      </c>
      <c r="D109" s="6" t="s">
        <v>858</v>
      </c>
      <c r="E109" s="6" t="s">
        <v>2287</v>
      </c>
      <c r="F109" s="6" t="s">
        <v>2288</v>
      </c>
    </row>
    <row r="110" spans="2:6">
      <c r="B110" s="5" t="s">
        <v>40</v>
      </c>
    </row>
  </sheetData>
  <mergeCells count="25">
    <mergeCell ref="A64:P64"/>
    <mergeCell ref="A74:P74"/>
    <mergeCell ref="A89:P89"/>
    <mergeCell ref="A92:P92"/>
    <mergeCell ref="B3:B4"/>
    <mergeCell ref="A16:P16"/>
    <mergeCell ref="A20:P20"/>
    <mergeCell ref="A25:P25"/>
    <mergeCell ref="A31:P31"/>
    <mergeCell ref="A40:P40"/>
    <mergeCell ref="A53:P53"/>
    <mergeCell ref="O3:O4"/>
    <mergeCell ref="P3:P4"/>
    <mergeCell ref="Q3:Q4"/>
    <mergeCell ref="A5:P5"/>
    <mergeCell ref="A9:P9"/>
    <mergeCell ref="A13:P13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11"/>
  <sheetViews>
    <sheetView workbookViewId="0">
      <selection sqref="A1:Q2"/>
    </sheetView>
  </sheetViews>
  <sheetFormatPr defaultColWidth="9.140625" defaultRowHeight="12.95"/>
  <cols>
    <col min="1" max="1" width="7.42578125" style="6" bestFit="1" customWidth="1"/>
    <col min="2" max="2" width="23.28515625" style="5" bestFit="1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22.7109375" style="5" customWidth="1"/>
    <col min="7" max="9" width="5.42578125" style="6" bestFit="1" customWidth="1"/>
    <col min="10" max="10" width="4.85546875" style="6" bestFit="1" customWidth="1"/>
    <col min="11" max="13" width="5.42578125" style="6" bestFit="1" customWidth="1"/>
    <col min="14" max="14" width="4.85546875" style="6" bestFit="1" customWidth="1"/>
    <col min="15" max="15" width="7.85546875" style="6" bestFit="1" customWidth="1"/>
    <col min="16" max="16" width="8.42578125" style="6" bestFit="1" customWidth="1"/>
    <col min="17" max="17" width="20.85546875" style="5" customWidth="1"/>
    <col min="18" max="16384" width="9.140625" style="3"/>
  </cols>
  <sheetData>
    <row r="1" spans="1:17" s="2" customFormat="1" ht="29.1" customHeight="1">
      <c r="A1" s="103" t="s">
        <v>2289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6"/>
    </row>
    <row r="2" spans="1:17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</row>
    <row r="3" spans="1:17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5</v>
      </c>
      <c r="F3" s="114" t="s">
        <v>6</v>
      </c>
      <c r="G3" s="114" t="s">
        <v>8</v>
      </c>
      <c r="H3" s="114"/>
      <c r="I3" s="114"/>
      <c r="J3" s="114"/>
      <c r="K3" s="114" t="s">
        <v>9</v>
      </c>
      <c r="L3" s="114"/>
      <c r="M3" s="114"/>
      <c r="N3" s="114"/>
      <c r="O3" s="114" t="s">
        <v>10</v>
      </c>
      <c r="P3" s="114" t="s">
        <v>11</v>
      </c>
      <c r="Q3" s="99" t="s">
        <v>12</v>
      </c>
    </row>
    <row r="4" spans="1:17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96">
        <v>1</v>
      </c>
      <c r="L4" s="96">
        <v>2</v>
      </c>
      <c r="M4" s="96">
        <v>3</v>
      </c>
      <c r="N4" s="96" t="s">
        <v>13</v>
      </c>
      <c r="O4" s="113"/>
      <c r="P4" s="113"/>
      <c r="Q4" s="100"/>
    </row>
    <row r="5" spans="1:17" ht="15.95">
      <c r="A5" s="101" t="s">
        <v>334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7">
      <c r="A6" s="13" t="s">
        <v>15</v>
      </c>
      <c r="B6" s="11" t="s">
        <v>2290</v>
      </c>
      <c r="C6" s="11" t="s">
        <v>2291</v>
      </c>
      <c r="D6" s="11" t="s">
        <v>536</v>
      </c>
      <c r="E6" s="11" t="str">
        <f>"0,6719"</f>
        <v>0,6719</v>
      </c>
      <c r="F6" s="11" t="s">
        <v>66</v>
      </c>
      <c r="G6" s="12" t="s">
        <v>248</v>
      </c>
      <c r="H6" s="12" t="s">
        <v>550</v>
      </c>
      <c r="I6" s="12" t="s">
        <v>351</v>
      </c>
      <c r="J6" s="13"/>
      <c r="K6" s="12" t="s">
        <v>392</v>
      </c>
      <c r="L6" s="12" t="s">
        <v>374</v>
      </c>
      <c r="M6" s="21" t="s">
        <v>384</v>
      </c>
      <c r="N6" s="13"/>
      <c r="O6" s="13" t="str">
        <f>"375,0"</f>
        <v>375,0</v>
      </c>
      <c r="P6" s="13" t="str">
        <f>"251,9625"</f>
        <v>251,9625</v>
      </c>
      <c r="Q6" s="11" t="s">
        <v>158</v>
      </c>
    </row>
    <row r="7" spans="1:17">
      <c r="A7" s="20" t="s">
        <v>15</v>
      </c>
      <c r="B7" s="18" t="s">
        <v>2290</v>
      </c>
      <c r="C7" s="18" t="s">
        <v>2292</v>
      </c>
      <c r="D7" s="18" t="s">
        <v>536</v>
      </c>
      <c r="E7" s="18" t="str">
        <f>"0,6719"</f>
        <v>0,6719</v>
      </c>
      <c r="F7" s="18" t="s">
        <v>66</v>
      </c>
      <c r="G7" s="19" t="s">
        <v>248</v>
      </c>
      <c r="H7" s="19" t="s">
        <v>550</v>
      </c>
      <c r="I7" s="19" t="s">
        <v>351</v>
      </c>
      <c r="J7" s="20"/>
      <c r="K7" s="19" t="s">
        <v>392</v>
      </c>
      <c r="L7" s="19" t="s">
        <v>374</v>
      </c>
      <c r="M7" s="22" t="s">
        <v>384</v>
      </c>
      <c r="N7" s="20"/>
      <c r="O7" s="20" t="str">
        <f>"375,0"</f>
        <v>375,0</v>
      </c>
      <c r="P7" s="20" t="str">
        <f>"267,0802"</f>
        <v>267,0802</v>
      </c>
      <c r="Q7" s="18" t="s">
        <v>158</v>
      </c>
    </row>
    <row r="8" spans="1:17">
      <c r="B8" s="5" t="s">
        <v>40</v>
      </c>
    </row>
    <row r="9" spans="1:17" ht="15.95">
      <c r="A9" s="102" t="s">
        <v>724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</row>
    <row r="10" spans="1:17">
      <c r="A10" s="10" t="s">
        <v>15</v>
      </c>
      <c r="B10" s="7" t="s">
        <v>774</v>
      </c>
      <c r="C10" s="7" t="s">
        <v>775</v>
      </c>
      <c r="D10" s="7" t="s">
        <v>776</v>
      </c>
      <c r="E10" s="7" t="str">
        <f>"0,5910"</f>
        <v>0,5910</v>
      </c>
      <c r="F10" s="7" t="s">
        <v>602</v>
      </c>
      <c r="G10" s="8" t="s">
        <v>60</v>
      </c>
      <c r="H10" s="8" t="s">
        <v>151</v>
      </c>
      <c r="I10" s="8" t="s">
        <v>248</v>
      </c>
      <c r="J10" s="10"/>
      <c r="K10" s="9" t="s">
        <v>374</v>
      </c>
      <c r="L10" s="8" t="s">
        <v>374</v>
      </c>
      <c r="M10" s="9" t="s">
        <v>384</v>
      </c>
      <c r="N10" s="10"/>
      <c r="O10" s="10" t="str">
        <f>"370,0"</f>
        <v>370,0</v>
      </c>
      <c r="P10" s="10" t="str">
        <f>"228,2915"</f>
        <v>228,2915</v>
      </c>
      <c r="Q10" s="7" t="s">
        <v>158</v>
      </c>
    </row>
    <row r="11" spans="1:17">
      <c r="B11" s="5" t="s">
        <v>40</v>
      </c>
    </row>
  </sheetData>
  <mergeCells count="14">
    <mergeCell ref="A5:P5"/>
    <mergeCell ref="A9:P9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381"/>
  <sheetViews>
    <sheetView topLeftCell="A362" workbookViewId="0">
      <selection activeCell="B292" sqref="B292"/>
    </sheetView>
  </sheetViews>
  <sheetFormatPr defaultColWidth="9.140625" defaultRowHeight="12.95"/>
  <cols>
    <col min="1" max="1" width="7.42578125" style="6" bestFit="1" customWidth="1"/>
    <col min="2" max="2" width="23.85546875" style="5" bestFit="1" customWidth="1"/>
    <col min="3" max="3" width="27.85546875" style="5" customWidth="1"/>
    <col min="4" max="4" width="21.42578125" style="5" bestFit="1" customWidth="1"/>
    <col min="5" max="5" width="10.42578125" style="5" bestFit="1" customWidth="1"/>
    <col min="6" max="6" width="23.85546875" style="5" bestFit="1" customWidth="1"/>
    <col min="7" max="10" width="5.42578125" style="6" bestFit="1" customWidth="1"/>
    <col min="11" max="11" width="11.28515625" style="39" bestFit="1" customWidth="1"/>
    <col min="12" max="12" width="8.42578125" style="6" bestFit="1" customWidth="1"/>
    <col min="13" max="13" width="32.42578125" style="5" bestFit="1" customWidth="1"/>
    <col min="14" max="16384" width="9.140625" style="3"/>
  </cols>
  <sheetData>
    <row r="1" spans="1:13" s="2" customFormat="1" ht="29.1" customHeight="1">
      <c r="A1" s="103" t="s">
        <v>2293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5</v>
      </c>
      <c r="F3" s="114" t="s">
        <v>6</v>
      </c>
      <c r="G3" s="114" t="s">
        <v>8</v>
      </c>
      <c r="H3" s="114"/>
      <c r="I3" s="114"/>
      <c r="J3" s="114"/>
      <c r="K3" s="117" t="s">
        <v>2294</v>
      </c>
      <c r="L3" s="114" t="s">
        <v>11</v>
      </c>
      <c r="M3" s="99" t="s">
        <v>12</v>
      </c>
    </row>
    <row r="4" spans="1:13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118"/>
      <c r="L4" s="113"/>
      <c r="M4" s="100"/>
    </row>
    <row r="5" spans="1:13" ht="15.95">
      <c r="A5" s="101" t="s">
        <v>14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3">
      <c r="A6" s="10" t="s">
        <v>15</v>
      </c>
      <c r="B6" s="7" t="s">
        <v>28</v>
      </c>
      <c r="C6" s="7" t="s">
        <v>29</v>
      </c>
      <c r="D6" s="7" t="s">
        <v>30</v>
      </c>
      <c r="E6" s="7" t="str">
        <f>"1,4123"</f>
        <v>1,4123</v>
      </c>
      <c r="F6" s="7" t="s">
        <v>31</v>
      </c>
      <c r="G6" s="8" t="s">
        <v>34</v>
      </c>
      <c r="H6" s="8" t="s">
        <v>35</v>
      </c>
      <c r="I6" s="8" t="s">
        <v>26</v>
      </c>
      <c r="J6" s="10"/>
      <c r="K6" s="41" t="str">
        <f>"60,0"</f>
        <v>60,0</v>
      </c>
      <c r="L6" s="10" t="str">
        <f>"84,7380"</f>
        <v>84,7380</v>
      </c>
      <c r="M6" s="7" t="s">
        <v>39</v>
      </c>
    </row>
    <row r="7" spans="1:13">
      <c r="B7" s="5" t="s">
        <v>40</v>
      </c>
    </row>
    <row r="8" spans="1:13" ht="15.95">
      <c r="A8" s="102" t="s">
        <v>41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3">
      <c r="A9" s="13" t="s">
        <v>15</v>
      </c>
      <c r="B9" s="11" t="s">
        <v>42</v>
      </c>
      <c r="C9" s="11" t="s">
        <v>43</v>
      </c>
      <c r="D9" s="11" t="s">
        <v>44</v>
      </c>
      <c r="E9" s="11" t="str">
        <f>"1,3244"</f>
        <v>1,3244</v>
      </c>
      <c r="F9" s="11" t="s">
        <v>45</v>
      </c>
      <c r="G9" s="12" t="s">
        <v>26</v>
      </c>
      <c r="H9" s="21" t="s">
        <v>48</v>
      </c>
      <c r="I9" s="21" t="s">
        <v>48</v>
      </c>
      <c r="J9" s="13"/>
      <c r="K9" s="37" t="str">
        <f>"60,0"</f>
        <v>60,0</v>
      </c>
      <c r="L9" s="13" t="str">
        <f>"79,4640"</f>
        <v>79,4640</v>
      </c>
      <c r="M9" s="11" t="s">
        <v>50</v>
      </c>
    </row>
    <row r="10" spans="1:13">
      <c r="A10" s="17" t="s">
        <v>62</v>
      </c>
      <c r="B10" s="14" t="s">
        <v>2295</v>
      </c>
      <c r="C10" s="14" t="s">
        <v>2296</v>
      </c>
      <c r="D10" s="14" t="s">
        <v>90</v>
      </c>
      <c r="E10" s="14" t="str">
        <f>"1,3326"</f>
        <v>1,3326</v>
      </c>
      <c r="F10" s="14" t="s">
        <v>91</v>
      </c>
      <c r="G10" s="15" t="s">
        <v>34</v>
      </c>
      <c r="H10" s="15" t="s">
        <v>25</v>
      </c>
      <c r="I10" s="15" t="s">
        <v>35</v>
      </c>
      <c r="J10" s="17"/>
      <c r="K10" s="40" t="str">
        <f>"57,5"</f>
        <v>57,5</v>
      </c>
      <c r="L10" s="17" t="str">
        <f>"76,6245"</f>
        <v>76,6245</v>
      </c>
      <c r="M10" s="14" t="s">
        <v>2297</v>
      </c>
    </row>
    <row r="11" spans="1:13">
      <c r="A11" s="17" t="s">
        <v>73</v>
      </c>
      <c r="B11" s="14" t="s">
        <v>2298</v>
      </c>
      <c r="C11" s="14" t="s">
        <v>2299</v>
      </c>
      <c r="D11" s="14" t="s">
        <v>2300</v>
      </c>
      <c r="E11" s="14" t="str">
        <f>"1,3783"</f>
        <v>1,3783</v>
      </c>
      <c r="F11" s="14" t="s">
        <v>594</v>
      </c>
      <c r="G11" s="15" t="s">
        <v>135</v>
      </c>
      <c r="H11" s="15" t="s">
        <v>82</v>
      </c>
      <c r="I11" s="16" t="s">
        <v>34</v>
      </c>
      <c r="J11" s="17"/>
      <c r="K11" s="40" t="str">
        <f>"45,0"</f>
        <v>45,0</v>
      </c>
      <c r="L11" s="17" t="str">
        <f>"62,0235"</f>
        <v>62,0235</v>
      </c>
      <c r="M11" s="14" t="s">
        <v>2301</v>
      </c>
    </row>
    <row r="12" spans="1:13">
      <c r="A12" s="17" t="s">
        <v>15</v>
      </c>
      <c r="B12" s="14" t="s">
        <v>63</v>
      </c>
      <c r="C12" s="14" t="s">
        <v>64</v>
      </c>
      <c r="D12" s="14" t="s">
        <v>65</v>
      </c>
      <c r="E12" s="14" t="str">
        <f>"1,3573"</f>
        <v>1,3573</v>
      </c>
      <c r="F12" s="14" t="s">
        <v>66</v>
      </c>
      <c r="G12" s="15" t="s">
        <v>25</v>
      </c>
      <c r="H12" s="16" t="s">
        <v>26</v>
      </c>
      <c r="I12" s="15" t="s">
        <v>26</v>
      </c>
      <c r="J12" s="17"/>
      <c r="K12" s="40" t="str">
        <f>"60,0"</f>
        <v>60,0</v>
      </c>
      <c r="L12" s="17" t="str">
        <f>"81,4380"</f>
        <v>81,4380</v>
      </c>
      <c r="M12" s="14" t="s">
        <v>72</v>
      </c>
    </row>
    <row r="13" spans="1:13">
      <c r="A13" s="17" t="s">
        <v>62</v>
      </c>
      <c r="B13" s="14" t="s">
        <v>42</v>
      </c>
      <c r="C13" s="14" t="s">
        <v>74</v>
      </c>
      <c r="D13" s="14" t="s">
        <v>44</v>
      </c>
      <c r="E13" s="14" t="str">
        <f>"1,3244"</f>
        <v>1,3244</v>
      </c>
      <c r="F13" s="14" t="s">
        <v>45</v>
      </c>
      <c r="G13" s="15" t="s">
        <v>26</v>
      </c>
      <c r="H13" s="16" t="s">
        <v>48</v>
      </c>
      <c r="I13" s="16" t="s">
        <v>48</v>
      </c>
      <c r="J13" s="17"/>
      <c r="K13" s="40" t="str">
        <f>"60,0"</f>
        <v>60,0</v>
      </c>
      <c r="L13" s="17" t="str">
        <f>"79,4640"</f>
        <v>79,4640</v>
      </c>
      <c r="M13" s="14" t="s">
        <v>50</v>
      </c>
    </row>
    <row r="14" spans="1:13">
      <c r="A14" s="17" t="s">
        <v>73</v>
      </c>
      <c r="B14" s="14" t="s">
        <v>2302</v>
      </c>
      <c r="C14" s="14" t="s">
        <v>2303</v>
      </c>
      <c r="D14" s="14" t="s">
        <v>2304</v>
      </c>
      <c r="E14" s="14" t="str">
        <f>"1,3449"</f>
        <v>1,3449</v>
      </c>
      <c r="F14" s="14" t="s">
        <v>91</v>
      </c>
      <c r="G14" s="16" t="s">
        <v>21</v>
      </c>
      <c r="H14" s="15" t="s">
        <v>82</v>
      </c>
      <c r="I14" s="15" t="s">
        <v>103</v>
      </c>
      <c r="J14" s="17"/>
      <c r="K14" s="40" t="str">
        <f>"50,0"</f>
        <v>50,0</v>
      </c>
      <c r="L14" s="17" t="str">
        <f>"67,2450"</f>
        <v>67,2450</v>
      </c>
      <c r="M14" s="14" t="s">
        <v>2305</v>
      </c>
    </row>
    <row r="15" spans="1:13">
      <c r="A15" s="20" t="s">
        <v>75</v>
      </c>
      <c r="B15" s="18" t="s">
        <v>2306</v>
      </c>
      <c r="C15" s="18" t="s">
        <v>2307</v>
      </c>
      <c r="D15" s="18" t="s">
        <v>956</v>
      </c>
      <c r="E15" s="18" t="str">
        <f>"1,3305"</f>
        <v>1,3305</v>
      </c>
      <c r="F15" s="18" t="s">
        <v>91</v>
      </c>
      <c r="G15" s="19" t="s">
        <v>82</v>
      </c>
      <c r="H15" s="22" t="s">
        <v>34</v>
      </c>
      <c r="I15" s="22" t="s">
        <v>34</v>
      </c>
      <c r="J15" s="20"/>
      <c r="K15" s="38" t="str">
        <f>"45,0"</f>
        <v>45,0</v>
      </c>
      <c r="L15" s="20" t="str">
        <f>"59,8725"</f>
        <v>59,8725</v>
      </c>
      <c r="M15" s="18" t="s">
        <v>2308</v>
      </c>
    </row>
    <row r="16" spans="1:13">
      <c r="B16" s="5" t="s">
        <v>40</v>
      </c>
    </row>
    <row r="17" spans="1:13" ht="15.95">
      <c r="A17" s="102" t="s">
        <v>98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1:13">
      <c r="A18" s="13" t="s">
        <v>15</v>
      </c>
      <c r="B18" s="11" t="s">
        <v>2309</v>
      </c>
      <c r="C18" s="11" t="s">
        <v>2310</v>
      </c>
      <c r="D18" s="11" t="s">
        <v>894</v>
      </c>
      <c r="E18" s="11" t="str">
        <f>"1,2504"</f>
        <v>1,2504</v>
      </c>
      <c r="F18" s="11" t="s">
        <v>720</v>
      </c>
      <c r="G18" s="21" t="s">
        <v>81</v>
      </c>
      <c r="H18" s="12" t="s">
        <v>81</v>
      </c>
      <c r="I18" s="21" t="s">
        <v>67</v>
      </c>
      <c r="J18" s="13"/>
      <c r="K18" s="37" t="str">
        <f>"80,0"</f>
        <v>80,0</v>
      </c>
      <c r="L18" s="13" t="str">
        <f>"100,0320"</f>
        <v>100,0320</v>
      </c>
      <c r="M18" s="11" t="s">
        <v>2311</v>
      </c>
    </row>
    <row r="19" spans="1:13">
      <c r="A19" s="17" t="s">
        <v>62</v>
      </c>
      <c r="B19" s="14" t="s">
        <v>2312</v>
      </c>
      <c r="C19" s="14" t="s">
        <v>2313</v>
      </c>
      <c r="D19" s="14" t="s">
        <v>2314</v>
      </c>
      <c r="E19" s="14" t="str">
        <f>"1,2788"</f>
        <v>1,2788</v>
      </c>
      <c r="F19" s="14" t="s">
        <v>2315</v>
      </c>
      <c r="G19" s="15" t="s">
        <v>82</v>
      </c>
      <c r="H19" s="16" t="s">
        <v>34</v>
      </c>
      <c r="I19" s="16" t="s">
        <v>34</v>
      </c>
      <c r="J19" s="17"/>
      <c r="K19" s="40" t="str">
        <f>"45,0"</f>
        <v>45,0</v>
      </c>
      <c r="L19" s="17" t="str">
        <f>"57,5460"</f>
        <v>57,5460</v>
      </c>
      <c r="M19" s="14" t="s">
        <v>2316</v>
      </c>
    </row>
    <row r="20" spans="1:13">
      <c r="A20" s="17" t="s">
        <v>15</v>
      </c>
      <c r="B20" s="14" t="s">
        <v>2309</v>
      </c>
      <c r="C20" s="14" t="s">
        <v>2317</v>
      </c>
      <c r="D20" s="14" t="s">
        <v>894</v>
      </c>
      <c r="E20" s="14" t="str">
        <f>"1,2504"</f>
        <v>1,2504</v>
      </c>
      <c r="F20" s="14" t="s">
        <v>720</v>
      </c>
      <c r="G20" s="16" t="s">
        <v>81</v>
      </c>
      <c r="H20" s="15" t="s">
        <v>81</v>
      </c>
      <c r="I20" s="16" t="s">
        <v>67</v>
      </c>
      <c r="J20" s="17"/>
      <c r="K20" s="40" t="str">
        <f>"80,0"</f>
        <v>80,0</v>
      </c>
      <c r="L20" s="17" t="str">
        <f>"100,0320"</f>
        <v>100,0320</v>
      </c>
      <c r="M20" s="14" t="s">
        <v>2311</v>
      </c>
    </row>
    <row r="21" spans="1:13">
      <c r="A21" s="17" t="s">
        <v>62</v>
      </c>
      <c r="B21" s="14" t="s">
        <v>1366</v>
      </c>
      <c r="C21" s="14" t="s">
        <v>1367</v>
      </c>
      <c r="D21" s="14" t="s">
        <v>1368</v>
      </c>
      <c r="E21" s="14" t="str">
        <f>"1,2560"</f>
        <v>1,2560</v>
      </c>
      <c r="F21" s="14" t="s">
        <v>45</v>
      </c>
      <c r="G21" s="16" t="s">
        <v>33</v>
      </c>
      <c r="H21" s="15" t="s">
        <v>80</v>
      </c>
      <c r="I21" s="15" t="s">
        <v>104</v>
      </c>
      <c r="J21" s="17"/>
      <c r="K21" s="40" t="str">
        <f>"77,5"</f>
        <v>77,5</v>
      </c>
      <c r="L21" s="17" t="str">
        <f>"97,3400"</f>
        <v>97,3400</v>
      </c>
      <c r="M21" s="14" t="s">
        <v>50</v>
      </c>
    </row>
    <row r="22" spans="1:13">
      <c r="A22" s="20" t="s">
        <v>15</v>
      </c>
      <c r="B22" s="18" t="s">
        <v>1369</v>
      </c>
      <c r="C22" s="18" t="s">
        <v>1380</v>
      </c>
      <c r="D22" s="18" t="s">
        <v>899</v>
      </c>
      <c r="E22" s="18" t="str">
        <f>"1,2654"</f>
        <v>1,2654</v>
      </c>
      <c r="F22" s="18" t="s">
        <v>594</v>
      </c>
      <c r="G22" s="19" t="s">
        <v>33</v>
      </c>
      <c r="H22" s="19" t="s">
        <v>140</v>
      </c>
      <c r="I22" s="22" t="s">
        <v>80</v>
      </c>
      <c r="J22" s="20"/>
      <c r="K22" s="38" t="str">
        <f>"72,5"</f>
        <v>72,5</v>
      </c>
      <c r="L22" s="20" t="str">
        <f>"95,7781"</f>
        <v>95,7781</v>
      </c>
      <c r="M22" s="18" t="s">
        <v>1371</v>
      </c>
    </row>
    <row r="23" spans="1:13">
      <c r="B23" s="5" t="s">
        <v>40</v>
      </c>
    </row>
    <row r="24" spans="1:13" ht="15.95">
      <c r="A24" s="102" t="s">
        <v>141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1:13">
      <c r="A25" s="13" t="s">
        <v>15</v>
      </c>
      <c r="B25" s="11" t="s">
        <v>2318</v>
      </c>
      <c r="C25" s="11" t="s">
        <v>2319</v>
      </c>
      <c r="D25" s="11" t="s">
        <v>2320</v>
      </c>
      <c r="E25" s="11" t="str">
        <f>"1,1916"</f>
        <v>1,1916</v>
      </c>
      <c r="F25" s="11" t="s">
        <v>2321</v>
      </c>
      <c r="G25" s="12" t="s">
        <v>21</v>
      </c>
      <c r="H25" s="12" t="s">
        <v>22</v>
      </c>
      <c r="I25" s="21" t="s">
        <v>82</v>
      </c>
      <c r="J25" s="13"/>
      <c r="K25" s="37" t="str">
        <f>"42,5"</f>
        <v>42,5</v>
      </c>
      <c r="L25" s="13" t="str">
        <f>"50,6430"</f>
        <v>50,6430</v>
      </c>
      <c r="M25" s="11" t="s">
        <v>2322</v>
      </c>
    </row>
    <row r="26" spans="1:13">
      <c r="A26" s="17" t="s">
        <v>15</v>
      </c>
      <c r="B26" s="14" t="s">
        <v>2323</v>
      </c>
      <c r="C26" s="14" t="s">
        <v>2324</v>
      </c>
      <c r="D26" s="14" t="s">
        <v>165</v>
      </c>
      <c r="E26" s="14" t="str">
        <f>"1,1816"</f>
        <v>1,1816</v>
      </c>
      <c r="F26" s="14" t="s">
        <v>1309</v>
      </c>
      <c r="G26" s="15" t="s">
        <v>25</v>
      </c>
      <c r="H26" s="16" t="s">
        <v>48</v>
      </c>
      <c r="I26" s="16" t="s">
        <v>48</v>
      </c>
      <c r="J26" s="17"/>
      <c r="K26" s="40" t="str">
        <f>"55,0"</f>
        <v>55,0</v>
      </c>
      <c r="L26" s="17" t="str">
        <f>"64,9880"</f>
        <v>64,9880</v>
      </c>
      <c r="M26" s="14" t="s">
        <v>158</v>
      </c>
    </row>
    <row r="27" spans="1:13">
      <c r="A27" s="17" t="s">
        <v>15</v>
      </c>
      <c r="B27" s="14" t="s">
        <v>2325</v>
      </c>
      <c r="C27" s="14" t="s">
        <v>2326</v>
      </c>
      <c r="D27" s="14" t="s">
        <v>2327</v>
      </c>
      <c r="E27" s="14" t="str">
        <f>"1,1866"</f>
        <v>1,1866</v>
      </c>
      <c r="F27" s="14" t="s">
        <v>2328</v>
      </c>
      <c r="G27" s="15" t="s">
        <v>26</v>
      </c>
      <c r="H27" s="15" t="s">
        <v>48</v>
      </c>
      <c r="I27" s="15" t="s">
        <v>32</v>
      </c>
      <c r="J27" s="17"/>
      <c r="K27" s="40" t="str">
        <f>"65,0"</f>
        <v>65,0</v>
      </c>
      <c r="L27" s="17" t="str">
        <f>"77,1290"</f>
        <v>77,1290</v>
      </c>
      <c r="M27" s="14" t="s">
        <v>2329</v>
      </c>
    </row>
    <row r="28" spans="1:13">
      <c r="A28" s="17" t="s">
        <v>15</v>
      </c>
      <c r="B28" s="14" t="s">
        <v>2330</v>
      </c>
      <c r="C28" s="14" t="s">
        <v>2331</v>
      </c>
      <c r="D28" s="14" t="s">
        <v>2332</v>
      </c>
      <c r="E28" s="14" t="str">
        <f>"1,1933"</f>
        <v>1,1933</v>
      </c>
      <c r="F28" s="14" t="s">
        <v>232</v>
      </c>
      <c r="G28" s="15" t="s">
        <v>32</v>
      </c>
      <c r="H28" s="16" t="s">
        <v>57</v>
      </c>
      <c r="I28" s="16" t="s">
        <v>57</v>
      </c>
      <c r="J28" s="17"/>
      <c r="K28" s="40" t="str">
        <f>"65,0"</f>
        <v>65,0</v>
      </c>
      <c r="L28" s="17" t="str">
        <f>"77,5645"</f>
        <v>77,5645</v>
      </c>
      <c r="M28" s="14" t="s">
        <v>2333</v>
      </c>
    </row>
    <row r="29" spans="1:13">
      <c r="A29" s="17" t="s">
        <v>62</v>
      </c>
      <c r="B29" s="14" t="s">
        <v>163</v>
      </c>
      <c r="C29" s="14" t="s">
        <v>164</v>
      </c>
      <c r="D29" s="14" t="s">
        <v>165</v>
      </c>
      <c r="E29" s="14" t="str">
        <f>"1,1816"</f>
        <v>1,1816</v>
      </c>
      <c r="F29" s="14" t="s">
        <v>166</v>
      </c>
      <c r="G29" s="15" t="s">
        <v>34</v>
      </c>
      <c r="H29" s="15" t="s">
        <v>35</v>
      </c>
      <c r="I29" s="15" t="s">
        <v>26</v>
      </c>
      <c r="J29" s="17"/>
      <c r="K29" s="40" t="str">
        <f>"60,0"</f>
        <v>60,0</v>
      </c>
      <c r="L29" s="17" t="str">
        <f>"70,8960"</f>
        <v>70,8960</v>
      </c>
      <c r="M29" s="14" t="s">
        <v>167</v>
      </c>
    </row>
    <row r="30" spans="1:13">
      <c r="A30" s="17" t="s">
        <v>73</v>
      </c>
      <c r="B30" s="14" t="s">
        <v>2334</v>
      </c>
      <c r="C30" s="14" t="s">
        <v>2335</v>
      </c>
      <c r="D30" s="14" t="s">
        <v>2327</v>
      </c>
      <c r="E30" s="14" t="str">
        <f>"1,1866"</f>
        <v>1,1866</v>
      </c>
      <c r="F30" s="14" t="s">
        <v>91</v>
      </c>
      <c r="G30" s="15" t="s">
        <v>35</v>
      </c>
      <c r="H30" s="16" t="s">
        <v>48</v>
      </c>
      <c r="I30" s="16" t="s">
        <v>48</v>
      </c>
      <c r="J30" s="17"/>
      <c r="K30" s="40" t="str">
        <f>"57,5"</f>
        <v>57,5</v>
      </c>
      <c r="L30" s="17" t="str">
        <f>"68,2295"</f>
        <v>68,2295</v>
      </c>
      <c r="M30" s="14" t="s">
        <v>158</v>
      </c>
    </row>
    <row r="31" spans="1:13">
      <c r="A31" s="17" t="s">
        <v>75</v>
      </c>
      <c r="B31" s="14" t="s">
        <v>2336</v>
      </c>
      <c r="C31" s="14" t="s">
        <v>2337</v>
      </c>
      <c r="D31" s="14" t="s">
        <v>2338</v>
      </c>
      <c r="E31" s="14" t="str">
        <f>"1,1832"</f>
        <v>1,1832</v>
      </c>
      <c r="F31" s="14" t="s">
        <v>2339</v>
      </c>
      <c r="G31" s="15" t="s">
        <v>35</v>
      </c>
      <c r="H31" s="16" t="s">
        <v>26</v>
      </c>
      <c r="I31" s="16" t="s">
        <v>48</v>
      </c>
      <c r="J31" s="17"/>
      <c r="K31" s="40" t="str">
        <f>"57,5"</f>
        <v>57,5</v>
      </c>
      <c r="L31" s="17" t="str">
        <f>"68,0340"</f>
        <v>68,0340</v>
      </c>
      <c r="M31" s="14" t="s">
        <v>2340</v>
      </c>
    </row>
    <row r="32" spans="1:13">
      <c r="A32" s="17" t="s">
        <v>87</v>
      </c>
      <c r="B32" s="14" t="s">
        <v>173</v>
      </c>
      <c r="C32" s="14" t="s">
        <v>174</v>
      </c>
      <c r="D32" s="14" t="s">
        <v>175</v>
      </c>
      <c r="E32" s="14" t="str">
        <f>"1,1883"</f>
        <v>1,1883</v>
      </c>
      <c r="F32" s="14" t="s">
        <v>1968</v>
      </c>
      <c r="G32" s="15" t="s">
        <v>25</v>
      </c>
      <c r="H32" s="16" t="s">
        <v>48</v>
      </c>
      <c r="I32" s="16" t="s">
        <v>48</v>
      </c>
      <c r="J32" s="17"/>
      <c r="K32" s="40" t="str">
        <f>"55,0"</f>
        <v>55,0</v>
      </c>
      <c r="L32" s="17" t="str">
        <f>"65,3565"</f>
        <v>65,3565</v>
      </c>
      <c r="M32" s="14" t="s">
        <v>177</v>
      </c>
    </row>
    <row r="33" spans="1:13">
      <c r="A33" s="17" t="s">
        <v>92</v>
      </c>
      <c r="B33" s="14" t="s">
        <v>2341</v>
      </c>
      <c r="C33" s="14" t="s">
        <v>2342</v>
      </c>
      <c r="D33" s="14" t="s">
        <v>2343</v>
      </c>
      <c r="E33" s="14" t="str">
        <f>"0,9439"</f>
        <v>0,9439</v>
      </c>
      <c r="F33" s="14" t="s">
        <v>644</v>
      </c>
      <c r="G33" s="16" t="s">
        <v>35</v>
      </c>
      <c r="H33" s="16" t="s">
        <v>26</v>
      </c>
      <c r="I33" s="16" t="s">
        <v>26</v>
      </c>
      <c r="J33" s="17"/>
      <c r="K33" s="40">
        <v>0</v>
      </c>
      <c r="L33" s="17" t="str">
        <f>"0,0000"</f>
        <v>0,0000</v>
      </c>
      <c r="M33" s="14" t="s">
        <v>2344</v>
      </c>
    </row>
    <row r="34" spans="1:13">
      <c r="A34" s="20" t="s">
        <v>15</v>
      </c>
      <c r="B34" s="18" t="s">
        <v>148</v>
      </c>
      <c r="C34" s="18" t="s">
        <v>190</v>
      </c>
      <c r="D34" s="18" t="s">
        <v>150</v>
      </c>
      <c r="E34" s="18" t="str">
        <f>"1,1766"</f>
        <v>1,1766</v>
      </c>
      <c r="F34" s="18" t="s">
        <v>45</v>
      </c>
      <c r="G34" s="19" t="s">
        <v>26</v>
      </c>
      <c r="H34" s="19" t="s">
        <v>32</v>
      </c>
      <c r="I34" s="22" t="s">
        <v>57</v>
      </c>
      <c r="J34" s="20"/>
      <c r="K34" s="38" t="str">
        <f>"65,0"</f>
        <v>65,0</v>
      </c>
      <c r="L34" s="20" t="str">
        <f>"76,8614"</f>
        <v>76,8614</v>
      </c>
      <c r="M34" s="18" t="s">
        <v>50</v>
      </c>
    </row>
    <row r="35" spans="1:13">
      <c r="B35" s="5" t="s">
        <v>40</v>
      </c>
    </row>
    <row r="36" spans="1:13" ht="15.95">
      <c r="A36" s="102" t="s">
        <v>195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1:13">
      <c r="A37" s="13" t="s">
        <v>15</v>
      </c>
      <c r="B37" s="11" t="s">
        <v>2345</v>
      </c>
      <c r="C37" s="11" t="s">
        <v>2346</v>
      </c>
      <c r="D37" s="11" t="s">
        <v>2347</v>
      </c>
      <c r="E37" s="11" t="str">
        <f>"1,1447"</f>
        <v>1,1447</v>
      </c>
      <c r="F37" s="11" t="s">
        <v>2321</v>
      </c>
      <c r="G37" s="12" t="s">
        <v>103</v>
      </c>
      <c r="H37" s="21" t="s">
        <v>34</v>
      </c>
      <c r="I37" s="13"/>
      <c r="J37" s="13"/>
      <c r="K37" s="37" t="str">
        <f>"50,0"</f>
        <v>50,0</v>
      </c>
      <c r="L37" s="13" t="str">
        <f>"57,2350"</f>
        <v>57,2350</v>
      </c>
      <c r="M37" s="11" t="s">
        <v>2322</v>
      </c>
    </row>
    <row r="38" spans="1:13">
      <c r="A38" s="17" t="s">
        <v>15</v>
      </c>
      <c r="B38" s="14" t="s">
        <v>1393</v>
      </c>
      <c r="C38" s="14" t="s">
        <v>1394</v>
      </c>
      <c r="D38" s="14" t="s">
        <v>1395</v>
      </c>
      <c r="E38" s="14" t="str">
        <f>"1,1509"</f>
        <v>1,1509</v>
      </c>
      <c r="F38" s="14" t="s">
        <v>594</v>
      </c>
      <c r="G38" s="15" t="s">
        <v>22</v>
      </c>
      <c r="H38" s="15" t="s">
        <v>83</v>
      </c>
      <c r="I38" s="16" t="s">
        <v>34</v>
      </c>
      <c r="J38" s="17"/>
      <c r="K38" s="40" t="str">
        <f>"47,5"</f>
        <v>47,5</v>
      </c>
      <c r="L38" s="17" t="str">
        <f>"54,6678"</f>
        <v>54,6678</v>
      </c>
      <c r="M38" s="14" t="s">
        <v>1396</v>
      </c>
    </row>
    <row r="39" spans="1:13">
      <c r="A39" s="17" t="s">
        <v>15</v>
      </c>
      <c r="B39" s="14" t="s">
        <v>2348</v>
      </c>
      <c r="C39" s="14" t="s">
        <v>2349</v>
      </c>
      <c r="D39" s="14" t="s">
        <v>202</v>
      </c>
      <c r="E39" s="14" t="str">
        <f>"1,1149"</f>
        <v>1,1149</v>
      </c>
      <c r="F39" s="14" t="s">
        <v>125</v>
      </c>
      <c r="G39" s="15" t="s">
        <v>67</v>
      </c>
      <c r="H39" s="15" t="s">
        <v>68</v>
      </c>
      <c r="I39" s="15" t="s">
        <v>38</v>
      </c>
      <c r="J39" s="16" t="s">
        <v>2350</v>
      </c>
      <c r="K39" s="40" t="str">
        <f>"100,0"</f>
        <v>100,0</v>
      </c>
      <c r="L39" s="17" t="str">
        <f>"111,4900"</f>
        <v>111,4900</v>
      </c>
      <c r="M39" s="14" t="s">
        <v>158</v>
      </c>
    </row>
    <row r="40" spans="1:13">
      <c r="A40" s="17" t="s">
        <v>62</v>
      </c>
      <c r="B40" s="14" t="s">
        <v>2351</v>
      </c>
      <c r="C40" s="14" t="s">
        <v>2352</v>
      </c>
      <c r="D40" s="14" t="s">
        <v>2353</v>
      </c>
      <c r="E40" s="14" t="str">
        <f>"1,1432"</f>
        <v>1,1432</v>
      </c>
      <c r="F40" s="14" t="s">
        <v>102</v>
      </c>
      <c r="G40" s="16" t="s">
        <v>34</v>
      </c>
      <c r="H40" s="15" t="s">
        <v>25</v>
      </c>
      <c r="I40" s="15" t="s">
        <v>35</v>
      </c>
      <c r="J40" s="17"/>
      <c r="K40" s="40" t="str">
        <f>"57,5"</f>
        <v>57,5</v>
      </c>
      <c r="L40" s="17" t="str">
        <f>"65,7340"</f>
        <v>65,7340</v>
      </c>
      <c r="M40" s="14" t="s">
        <v>105</v>
      </c>
    </row>
    <row r="41" spans="1:13">
      <c r="A41" s="17" t="s">
        <v>73</v>
      </c>
      <c r="B41" s="14" t="s">
        <v>2354</v>
      </c>
      <c r="C41" s="14" t="s">
        <v>1639</v>
      </c>
      <c r="D41" s="14" t="s">
        <v>2355</v>
      </c>
      <c r="E41" s="14" t="str">
        <f>"1,1416"</f>
        <v>1,1416</v>
      </c>
      <c r="F41" s="14" t="s">
        <v>2356</v>
      </c>
      <c r="G41" s="15" t="s">
        <v>103</v>
      </c>
      <c r="H41" s="16" t="s">
        <v>25</v>
      </c>
      <c r="I41" s="16" t="s">
        <v>35</v>
      </c>
      <c r="J41" s="17"/>
      <c r="K41" s="40" t="str">
        <f>"50,0"</f>
        <v>50,0</v>
      </c>
      <c r="L41" s="17" t="str">
        <f>"57,0800"</f>
        <v>57,0800</v>
      </c>
      <c r="M41" s="14" t="s">
        <v>158</v>
      </c>
    </row>
    <row r="42" spans="1:13">
      <c r="A42" s="17" t="s">
        <v>92</v>
      </c>
      <c r="B42" s="14" t="s">
        <v>2357</v>
      </c>
      <c r="C42" s="14" t="s">
        <v>582</v>
      </c>
      <c r="D42" s="14" t="s">
        <v>2358</v>
      </c>
      <c r="E42" s="14" t="str">
        <f>"1,1652"</f>
        <v>1,1652</v>
      </c>
      <c r="F42" s="14" t="s">
        <v>1224</v>
      </c>
      <c r="G42" s="16" t="s">
        <v>81</v>
      </c>
      <c r="H42" s="16" t="s">
        <v>81</v>
      </c>
      <c r="I42" s="16" t="s">
        <v>81</v>
      </c>
      <c r="J42" s="17"/>
      <c r="K42" s="40">
        <v>0</v>
      </c>
      <c r="L42" s="17" t="str">
        <f>"0,0000"</f>
        <v>0,0000</v>
      </c>
      <c r="M42" s="14" t="s">
        <v>1225</v>
      </c>
    </row>
    <row r="43" spans="1:13">
      <c r="A43" s="20" t="s">
        <v>92</v>
      </c>
      <c r="B43" s="18" t="s">
        <v>2359</v>
      </c>
      <c r="C43" s="18" t="s">
        <v>211</v>
      </c>
      <c r="D43" s="18" t="s">
        <v>2228</v>
      </c>
      <c r="E43" s="18" t="str">
        <f>"1,1207"</f>
        <v>1,1207</v>
      </c>
      <c r="F43" s="18" t="s">
        <v>91</v>
      </c>
      <c r="G43" s="22" t="s">
        <v>140</v>
      </c>
      <c r="H43" s="22" t="s">
        <v>104</v>
      </c>
      <c r="I43" s="22" t="s">
        <v>104</v>
      </c>
      <c r="J43" s="20"/>
      <c r="K43" s="38">
        <v>0</v>
      </c>
      <c r="L43" s="20" t="str">
        <f>"0,0000"</f>
        <v>0,0000</v>
      </c>
      <c r="M43" s="18" t="s">
        <v>158</v>
      </c>
    </row>
    <row r="44" spans="1:13">
      <c r="B44" s="5" t="s">
        <v>40</v>
      </c>
    </row>
    <row r="45" spans="1:13" ht="15.95">
      <c r="A45" s="102" t="s">
        <v>241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</row>
    <row r="46" spans="1:13">
      <c r="A46" s="13" t="s">
        <v>15</v>
      </c>
      <c r="B46" s="11" t="s">
        <v>2360</v>
      </c>
      <c r="C46" s="11" t="s">
        <v>2361</v>
      </c>
      <c r="D46" s="11" t="s">
        <v>2362</v>
      </c>
      <c r="E46" s="11" t="str">
        <f>"1,0805"</f>
        <v>1,0805</v>
      </c>
      <c r="F46" s="11" t="s">
        <v>720</v>
      </c>
      <c r="G46" s="12" t="s">
        <v>67</v>
      </c>
      <c r="H46" s="12" t="s">
        <v>120</v>
      </c>
      <c r="I46" s="21" t="s">
        <v>36</v>
      </c>
      <c r="J46" s="13"/>
      <c r="K46" s="37" t="str">
        <f>"87,5"</f>
        <v>87,5</v>
      </c>
      <c r="L46" s="13" t="str">
        <f>"94,5438"</f>
        <v>94,5438</v>
      </c>
      <c r="M46" s="11" t="s">
        <v>2363</v>
      </c>
    </row>
    <row r="47" spans="1:13">
      <c r="A47" s="17" t="s">
        <v>15</v>
      </c>
      <c r="B47" s="14" t="s">
        <v>2364</v>
      </c>
      <c r="C47" s="14" t="s">
        <v>2365</v>
      </c>
      <c r="D47" s="14" t="s">
        <v>2366</v>
      </c>
      <c r="E47" s="14" t="str">
        <f>"1,0676"</f>
        <v>1,0676</v>
      </c>
      <c r="F47" s="14" t="s">
        <v>91</v>
      </c>
      <c r="G47" s="15" t="s">
        <v>36</v>
      </c>
      <c r="H47" s="15" t="s">
        <v>68</v>
      </c>
      <c r="I47" s="15" t="s">
        <v>37</v>
      </c>
      <c r="J47" s="17"/>
      <c r="K47" s="40" t="str">
        <f>"95,0"</f>
        <v>95,0</v>
      </c>
      <c r="L47" s="17" t="str">
        <f>"101,4220"</f>
        <v>101,4220</v>
      </c>
      <c r="M47" s="14" t="s">
        <v>158</v>
      </c>
    </row>
    <row r="48" spans="1:13">
      <c r="A48" s="17" t="s">
        <v>62</v>
      </c>
      <c r="B48" s="14" t="s">
        <v>2367</v>
      </c>
      <c r="C48" s="14" t="s">
        <v>2368</v>
      </c>
      <c r="D48" s="14" t="s">
        <v>919</v>
      </c>
      <c r="E48" s="14" t="str">
        <f>"1,1007"</f>
        <v>1,1007</v>
      </c>
      <c r="F48" s="14" t="s">
        <v>1105</v>
      </c>
      <c r="G48" s="16" t="s">
        <v>67</v>
      </c>
      <c r="H48" s="15" t="s">
        <v>67</v>
      </c>
      <c r="I48" s="15" t="s">
        <v>120</v>
      </c>
      <c r="J48" s="17"/>
      <c r="K48" s="40" t="str">
        <f>"87,5"</f>
        <v>87,5</v>
      </c>
      <c r="L48" s="17" t="str">
        <f>"96,3113"</f>
        <v>96,3113</v>
      </c>
      <c r="M48" s="14" t="s">
        <v>1415</v>
      </c>
    </row>
    <row r="49" spans="1:13">
      <c r="A49" s="17" t="s">
        <v>73</v>
      </c>
      <c r="B49" s="14" t="s">
        <v>2360</v>
      </c>
      <c r="C49" s="14" t="s">
        <v>2369</v>
      </c>
      <c r="D49" s="14" t="s">
        <v>2362</v>
      </c>
      <c r="E49" s="14" t="str">
        <f>"1,0805"</f>
        <v>1,0805</v>
      </c>
      <c r="F49" s="14" t="s">
        <v>720</v>
      </c>
      <c r="G49" s="15" t="s">
        <v>67</v>
      </c>
      <c r="H49" s="15" t="s">
        <v>120</v>
      </c>
      <c r="I49" s="16" t="s">
        <v>36</v>
      </c>
      <c r="J49" s="17"/>
      <c r="K49" s="40" t="str">
        <f>"87,5"</f>
        <v>87,5</v>
      </c>
      <c r="L49" s="17" t="str">
        <f>"94,5438"</f>
        <v>94,5438</v>
      </c>
      <c r="M49" s="14" t="s">
        <v>2363</v>
      </c>
    </row>
    <row r="50" spans="1:13">
      <c r="A50" s="17" t="s">
        <v>75</v>
      </c>
      <c r="B50" s="14" t="s">
        <v>259</v>
      </c>
      <c r="C50" s="14" t="s">
        <v>260</v>
      </c>
      <c r="D50" s="14" t="s">
        <v>261</v>
      </c>
      <c r="E50" s="14" t="str">
        <f>"1,0385"</f>
        <v>1,0385</v>
      </c>
      <c r="F50" s="14" t="s">
        <v>262</v>
      </c>
      <c r="G50" s="15" t="s">
        <v>33</v>
      </c>
      <c r="H50" s="15" t="s">
        <v>80</v>
      </c>
      <c r="I50" s="16" t="s">
        <v>104</v>
      </c>
      <c r="J50" s="17"/>
      <c r="K50" s="40" t="str">
        <f>"75,0"</f>
        <v>75,0</v>
      </c>
      <c r="L50" s="17" t="str">
        <f>"77,8875"</f>
        <v>77,8875</v>
      </c>
      <c r="M50" s="14" t="s">
        <v>263</v>
      </c>
    </row>
    <row r="51" spans="1:13">
      <c r="A51" s="17" t="s">
        <v>15</v>
      </c>
      <c r="B51" s="14" t="s">
        <v>2370</v>
      </c>
      <c r="C51" s="14" t="s">
        <v>2371</v>
      </c>
      <c r="D51" s="14" t="s">
        <v>2372</v>
      </c>
      <c r="E51" s="14" t="str">
        <f>"1,0491"</f>
        <v>1,0491</v>
      </c>
      <c r="F51" s="14" t="s">
        <v>232</v>
      </c>
      <c r="G51" s="15" t="s">
        <v>140</v>
      </c>
      <c r="H51" s="15" t="s">
        <v>104</v>
      </c>
      <c r="I51" s="16" t="s">
        <v>81</v>
      </c>
      <c r="J51" s="17"/>
      <c r="K51" s="40" t="str">
        <f>"77,5"</f>
        <v>77,5</v>
      </c>
      <c r="L51" s="17" t="str">
        <f>"83,5818"</f>
        <v>83,5818</v>
      </c>
      <c r="M51" s="14" t="s">
        <v>1183</v>
      </c>
    </row>
    <row r="52" spans="1:13">
      <c r="A52" s="17" t="s">
        <v>62</v>
      </c>
      <c r="B52" s="14" t="s">
        <v>2373</v>
      </c>
      <c r="C52" s="14" t="s">
        <v>2374</v>
      </c>
      <c r="D52" s="14" t="s">
        <v>377</v>
      </c>
      <c r="E52" s="14" t="str">
        <f>"1,0339"</f>
        <v>1,0339</v>
      </c>
      <c r="F52" s="14" t="s">
        <v>91</v>
      </c>
      <c r="G52" s="15" t="s">
        <v>33</v>
      </c>
      <c r="H52" s="15" t="s">
        <v>140</v>
      </c>
      <c r="I52" s="16" t="s">
        <v>80</v>
      </c>
      <c r="J52" s="17"/>
      <c r="K52" s="40" t="str">
        <f>"72,5"</f>
        <v>72,5</v>
      </c>
      <c r="L52" s="17" t="str">
        <f>"78,2559"</f>
        <v>78,2559</v>
      </c>
      <c r="M52" s="14" t="s">
        <v>2375</v>
      </c>
    </row>
    <row r="53" spans="1:13">
      <c r="A53" s="17" t="s">
        <v>73</v>
      </c>
      <c r="B53" s="14" t="s">
        <v>2376</v>
      </c>
      <c r="C53" s="14" t="s">
        <v>2377</v>
      </c>
      <c r="D53" s="14" t="s">
        <v>363</v>
      </c>
      <c r="E53" s="14" t="str">
        <f>"1,0515"</f>
        <v>1,0515</v>
      </c>
      <c r="F53" s="14" t="s">
        <v>2378</v>
      </c>
      <c r="G53" s="16" t="s">
        <v>26</v>
      </c>
      <c r="H53" s="15" t="s">
        <v>26</v>
      </c>
      <c r="I53" s="16" t="s">
        <v>33</v>
      </c>
      <c r="J53" s="17"/>
      <c r="K53" s="40" t="str">
        <f>"60,0"</f>
        <v>60,0</v>
      </c>
      <c r="L53" s="17" t="str">
        <f>"63,4054"</f>
        <v>63,4054</v>
      </c>
      <c r="M53" s="14" t="s">
        <v>2379</v>
      </c>
    </row>
    <row r="54" spans="1:13">
      <c r="A54" s="20" t="s">
        <v>15</v>
      </c>
      <c r="B54" s="18" t="s">
        <v>2380</v>
      </c>
      <c r="C54" s="18" t="s">
        <v>2381</v>
      </c>
      <c r="D54" s="18" t="s">
        <v>2372</v>
      </c>
      <c r="E54" s="18" t="str">
        <f>"1,0491"</f>
        <v>1,0491</v>
      </c>
      <c r="F54" s="18" t="s">
        <v>91</v>
      </c>
      <c r="G54" s="22" t="s">
        <v>80</v>
      </c>
      <c r="H54" s="19" t="s">
        <v>81</v>
      </c>
      <c r="I54" s="22" t="s">
        <v>67</v>
      </c>
      <c r="J54" s="20"/>
      <c r="K54" s="38" t="str">
        <f>"80,0"</f>
        <v>80,0</v>
      </c>
      <c r="L54" s="20" t="str">
        <f>"101,3011"</f>
        <v>101,3011</v>
      </c>
      <c r="M54" s="18" t="s">
        <v>2382</v>
      </c>
    </row>
    <row r="55" spans="1:13">
      <c r="B55" s="5" t="s">
        <v>40</v>
      </c>
    </row>
    <row r="56" spans="1:13" ht="15.95">
      <c r="A56" s="102" t="s">
        <v>301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3">
      <c r="A57" s="13" t="s">
        <v>15</v>
      </c>
      <c r="B57" s="11" t="s">
        <v>2383</v>
      </c>
      <c r="C57" s="11" t="s">
        <v>2384</v>
      </c>
      <c r="D57" s="11" t="s">
        <v>2385</v>
      </c>
      <c r="E57" s="11" t="str">
        <f>"0,9968"</f>
        <v>0,9968</v>
      </c>
      <c r="F57" s="11" t="s">
        <v>1309</v>
      </c>
      <c r="G57" s="12" t="s">
        <v>35</v>
      </c>
      <c r="H57" s="12" t="s">
        <v>26</v>
      </c>
      <c r="I57" s="21" t="s">
        <v>48</v>
      </c>
      <c r="J57" s="13"/>
      <c r="K57" s="37" t="str">
        <f>"60,0"</f>
        <v>60,0</v>
      </c>
      <c r="L57" s="13" t="str">
        <f>"59,8080"</f>
        <v>59,8080</v>
      </c>
      <c r="M57" s="11" t="s">
        <v>2386</v>
      </c>
    </row>
    <row r="58" spans="1:13">
      <c r="A58" s="17" t="s">
        <v>15</v>
      </c>
      <c r="B58" s="14" t="s">
        <v>2387</v>
      </c>
      <c r="C58" s="14" t="s">
        <v>2388</v>
      </c>
      <c r="D58" s="14" t="s">
        <v>994</v>
      </c>
      <c r="E58" s="14" t="str">
        <f>"0,9707"</f>
        <v>0,9707</v>
      </c>
      <c r="F58" s="14" t="s">
        <v>91</v>
      </c>
      <c r="G58" s="16" t="s">
        <v>49</v>
      </c>
      <c r="H58" s="15" t="s">
        <v>49</v>
      </c>
      <c r="I58" s="16" t="s">
        <v>47</v>
      </c>
      <c r="J58" s="17"/>
      <c r="K58" s="40" t="str">
        <f>"105,0"</f>
        <v>105,0</v>
      </c>
      <c r="L58" s="17" t="str">
        <f>"101,9235"</f>
        <v>101,9235</v>
      </c>
      <c r="M58" s="14" t="s">
        <v>2134</v>
      </c>
    </row>
    <row r="59" spans="1:13">
      <c r="A59" s="20" t="s">
        <v>15</v>
      </c>
      <c r="B59" s="18" t="s">
        <v>2387</v>
      </c>
      <c r="C59" s="18" t="s">
        <v>2389</v>
      </c>
      <c r="D59" s="18" t="s">
        <v>994</v>
      </c>
      <c r="E59" s="18" t="str">
        <f>"0,9707"</f>
        <v>0,9707</v>
      </c>
      <c r="F59" s="18" t="s">
        <v>91</v>
      </c>
      <c r="G59" s="22" t="s">
        <v>49</v>
      </c>
      <c r="H59" s="19" t="s">
        <v>49</v>
      </c>
      <c r="I59" s="22" t="s">
        <v>47</v>
      </c>
      <c r="J59" s="20"/>
      <c r="K59" s="38" t="str">
        <f>"105,0"</f>
        <v>105,0</v>
      </c>
      <c r="L59" s="20" t="str">
        <f>"127,4044"</f>
        <v>127,4044</v>
      </c>
      <c r="M59" s="18" t="s">
        <v>2134</v>
      </c>
    </row>
    <row r="60" spans="1:13">
      <c r="B60" s="5" t="s">
        <v>40</v>
      </c>
    </row>
    <row r="61" spans="1:13" ht="15.95">
      <c r="A61" s="102" t="s">
        <v>598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</row>
    <row r="62" spans="1:13">
      <c r="A62" s="10" t="s">
        <v>15</v>
      </c>
      <c r="B62" s="7" t="s">
        <v>2390</v>
      </c>
      <c r="C62" s="7" t="s">
        <v>2066</v>
      </c>
      <c r="D62" s="7" t="s">
        <v>2391</v>
      </c>
      <c r="E62" s="7" t="str">
        <f>"0,8861"</f>
        <v>0,8861</v>
      </c>
      <c r="F62" s="7" t="s">
        <v>91</v>
      </c>
      <c r="G62" s="8" t="s">
        <v>49</v>
      </c>
      <c r="H62" s="8" t="s">
        <v>55</v>
      </c>
      <c r="I62" s="9" t="s">
        <v>70</v>
      </c>
      <c r="J62" s="10"/>
      <c r="K62" s="41" t="str">
        <f>"112,5"</f>
        <v>112,5</v>
      </c>
      <c r="L62" s="10" t="str">
        <f>"99,6862"</f>
        <v>99,6862</v>
      </c>
      <c r="M62" s="7" t="s">
        <v>158</v>
      </c>
    </row>
    <row r="63" spans="1:13">
      <c r="B63" s="5" t="s">
        <v>40</v>
      </c>
    </row>
    <row r="64" spans="1:13" ht="15.95">
      <c r="A64" s="102" t="s">
        <v>98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1:13">
      <c r="A65" s="13" t="s">
        <v>15</v>
      </c>
      <c r="B65" s="11" t="s">
        <v>2392</v>
      </c>
      <c r="C65" s="11" t="s">
        <v>2393</v>
      </c>
      <c r="D65" s="11" t="s">
        <v>2394</v>
      </c>
      <c r="E65" s="11" t="str">
        <f>"1,1813"</f>
        <v>1,1813</v>
      </c>
      <c r="F65" s="11" t="s">
        <v>232</v>
      </c>
      <c r="G65" s="12" t="s">
        <v>22</v>
      </c>
      <c r="H65" s="12" t="s">
        <v>83</v>
      </c>
      <c r="I65" s="21" t="s">
        <v>103</v>
      </c>
      <c r="J65" s="13"/>
      <c r="K65" s="37" t="str">
        <f>"47,5"</f>
        <v>47,5</v>
      </c>
      <c r="L65" s="13" t="str">
        <f>"56,1118"</f>
        <v>56,1118</v>
      </c>
      <c r="M65" s="11" t="s">
        <v>1183</v>
      </c>
    </row>
    <row r="66" spans="1:13">
      <c r="A66" s="17" t="s">
        <v>62</v>
      </c>
      <c r="B66" s="14" t="s">
        <v>2395</v>
      </c>
      <c r="C66" s="14" t="s">
        <v>2396</v>
      </c>
      <c r="D66" s="14" t="s">
        <v>2397</v>
      </c>
      <c r="E66" s="14" t="str">
        <f>"1,0580"</f>
        <v>1,0580</v>
      </c>
      <c r="F66" s="14" t="s">
        <v>91</v>
      </c>
      <c r="G66" s="15" t="s">
        <v>83</v>
      </c>
      <c r="H66" s="16" t="s">
        <v>25</v>
      </c>
      <c r="I66" s="16" t="s">
        <v>25</v>
      </c>
      <c r="J66" s="17"/>
      <c r="K66" s="40" t="str">
        <f>"47,5"</f>
        <v>47,5</v>
      </c>
      <c r="L66" s="17" t="str">
        <f>"50,2550"</f>
        <v>50,2550</v>
      </c>
      <c r="M66" s="14" t="s">
        <v>158</v>
      </c>
    </row>
    <row r="67" spans="1:13">
      <c r="A67" s="20" t="s">
        <v>15</v>
      </c>
      <c r="B67" s="18" t="s">
        <v>2398</v>
      </c>
      <c r="C67" s="18" t="s">
        <v>2399</v>
      </c>
      <c r="D67" s="18" t="s">
        <v>1368</v>
      </c>
      <c r="E67" s="18" t="str">
        <f>"0,9913"</f>
        <v>0,9913</v>
      </c>
      <c r="F67" s="18" t="s">
        <v>547</v>
      </c>
      <c r="G67" s="19" t="s">
        <v>38</v>
      </c>
      <c r="H67" s="19" t="s">
        <v>69</v>
      </c>
      <c r="I67" s="22" t="s">
        <v>56</v>
      </c>
      <c r="J67" s="20"/>
      <c r="K67" s="38" t="str">
        <f>"110,0"</f>
        <v>110,0</v>
      </c>
      <c r="L67" s="20" t="str">
        <f>"109,0430"</f>
        <v>109,0430</v>
      </c>
      <c r="M67" s="18" t="s">
        <v>2400</v>
      </c>
    </row>
    <row r="68" spans="1:13">
      <c r="B68" s="5" t="s">
        <v>40</v>
      </c>
    </row>
    <row r="69" spans="1:13" ht="15.95">
      <c r="A69" s="102" t="s">
        <v>141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1:13">
      <c r="A70" s="13" t="s">
        <v>15</v>
      </c>
      <c r="B70" s="11" t="s">
        <v>2401</v>
      </c>
      <c r="C70" s="11" t="s">
        <v>2402</v>
      </c>
      <c r="D70" s="11" t="s">
        <v>189</v>
      </c>
      <c r="E70" s="11" t="str">
        <f>"0,9184"</f>
        <v>0,9184</v>
      </c>
      <c r="F70" s="11" t="s">
        <v>758</v>
      </c>
      <c r="G70" s="12" t="s">
        <v>146</v>
      </c>
      <c r="H70" s="12" t="s">
        <v>120</v>
      </c>
      <c r="I70" s="21" t="s">
        <v>36</v>
      </c>
      <c r="J70" s="13"/>
      <c r="K70" s="37" t="str">
        <f>"87,5"</f>
        <v>87,5</v>
      </c>
      <c r="L70" s="13" t="str">
        <f>"80,3600"</f>
        <v>80,3600</v>
      </c>
      <c r="M70" s="11" t="s">
        <v>759</v>
      </c>
    </row>
    <row r="71" spans="1:13">
      <c r="A71" s="17" t="s">
        <v>15</v>
      </c>
      <c r="B71" s="14" t="s">
        <v>2403</v>
      </c>
      <c r="C71" s="14" t="s">
        <v>2404</v>
      </c>
      <c r="D71" s="14" t="s">
        <v>2327</v>
      </c>
      <c r="E71" s="14" t="str">
        <f>"0,9200"</f>
        <v>0,9200</v>
      </c>
      <c r="F71" s="14" t="s">
        <v>594</v>
      </c>
      <c r="G71" s="15" t="s">
        <v>38</v>
      </c>
      <c r="H71" s="15" t="s">
        <v>47</v>
      </c>
      <c r="I71" s="15" t="s">
        <v>69</v>
      </c>
      <c r="J71" s="17"/>
      <c r="K71" s="40" t="str">
        <f>"110,0"</f>
        <v>110,0</v>
      </c>
      <c r="L71" s="17" t="str">
        <f>"101,2000"</f>
        <v>101,2000</v>
      </c>
      <c r="M71" s="14" t="s">
        <v>158</v>
      </c>
    </row>
    <row r="72" spans="1:13">
      <c r="A72" s="17" t="s">
        <v>62</v>
      </c>
      <c r="B72" s="14" t="s">
        <v>2405</v>
      </c>
      <c r="C72" s="14" t="s">
        <v>2406</v>
      </c>
      <c r="D72" s="14" t="s">
        <v>2407</v>
      </c>
      <c r="E72" s="14" t="str">
        <f>"0,9119"</f>
        <v>0,9119</v>
      </c>
      <c r="F72" s="14" t="s">
        <v>2408</v>
      </c>
      <c r="G72" s="15" t="s">
        <v>120</v>
      </c>
      <c r="H72" s="15" t="s">
        <v>68</v>
      </c>
      <c r="I72" s="16" t="s">
        <v>110</v>
      </c>
      <c r="J72" s="17"/>
      <c r="K72" s="40" t="str">
        <f>"92,5"</f>
        <v>92,5</v>
      </c>
      <c r="L72" s="17" t="str">
        <f>"84,3507"</f>
        <v>84,3507</v>
      </c>
      <c r="M72" s="14" t="s">
        <v>2409</v>
      </c>
    </row>
    <row r="73" spans="1:13">
      <c r="A73" s="20" t="s">
        <v>15</v>
      </c>
      <c r="B73" s="18" t="s">
        <v>2410</v>
      </c>
      <c r="C73" s="18" t="s">
        <v>2411</v>
      </c>
      <c r="D73" s="18" t="s">
        <v>2412</v>
      </c>
      <c r="E73" s="18" t="str">
        <f>"0,9492"</f>
        <v>0,9492</v>
      </c>
      <c r="F73" s="18" t="s">
        <v>403</v>
      </c>
      <c r="G73" s="19" t="s">
        <v>38</v>
      </c>
      <c r="H73" s="22" t="s">
        <v>49</v>
      </c>
      <c r="I73" s="22" t="s">
        <v>49</v>
      </c>
      <c r="J73" s="20"/>
      <c r="K73" s="38" t="str">
        <f>"100,0"</f>
        <v>100,0</v>
      </c>
      <c r="L73" s="20" t="str">
        <f>"94,9200"</f>
        <v>94,9200</v>
      </c>
      <c r="M73" s="18" t="s">
        <v>2413</v>
      </c>
    </row>
    <row r="74" spans="1:13">
      <c r="B74" s="5" t="s">
        <v>40</v>
      </c>
    </row>
    <row r="75" spans="1:13" ht="15.95">
      <c r="A75" s="102" t="s">
        <v>195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1:13">
      <c r="A76" s="13" t="s">
        <v>15</v>
      </c>
      <c r="B76" s="11" t="s">
        <v>2084</v>
      </c>
      <c r="C76" s="11" t="s">
        <v>2085</v>
      </c>
      <c r="D76" s="11" t="s">
        <v>226</v>
      </c>
      <c r="E76" s="11" t="str">
        <f>"0,8964"</f>
        <v>0,8964</v>
      </c>
      <c r="F76" s="11" t="s">
        <v>1155</v>
      </c>
      <c r="G76" s="12" t="s">
        <v>80</v>
      </c>
      <c r="H76" s="12" t="s">
        <v>67</v>
      </c>
      <c r="I76" s="12" t="s">
        <v>36</v>
      </c>
      <c r="J76" s="13"/>
      <c r="K76" s="37" t="str">
        <f>"90,0"</f>
        <v>90,0</v>
      </c>
      <c r="L76" s="13" t="str">
        <f>"80,6760"</f>
        <v>80,6760</v>
      </c>
      <c r="M76" s="11" t="s">
        <v>2087</v>
      </c>
    </row>
    <row r="77" spans="1:13">
      <c r="A77" s="17" t="s">
        <v>15</v>
      </c>
      <c r="B77" s="14" t="s">
        <v>2414</v>
      </c>
      <c r="C77" s="14" t="s">
        <v>2415</v>
      </c>
      <c r="D77" s="14" t="s">
        <v>208</v>
      </c>
      <c r="E77" s="14" t="str">
        <f>"0,8648"</f>
        <v>0,8648</v>
      </c>
      <c r="F77" s="14" t="s">
        <v>720</v>
      </c>
      <c r="G77" s="15" t="s">
        <v>58</v>
      </c>
      <c r="H77" s="15" t="s">
        <v>59</v>
      </c>
      <c r="I77" s="17"/>
      <c r="J77" s="17"/>
      <c r="K77" s="40" t="str">
        <f>"145,0"</f>
        <v>145,0</v>
      </c>
      <c r="L77" s="17" t="str">
        <f>"125,3960"</f>
        <v>125,3960</v>
      </c>
      <c r="M77" s="14" t="s">
        <v>158</v>
      </c>
    </row>
    <row r="78" spans="1:13">
      <c r="A78" s="17" t="s">
        <v>62</v>
      </c>
      <c r="B78" s="14" t="s">
        <v>2416</v>
      </c>
      <c r="C78" s="14" t="s">
        <v>2417</v>
      </c>
      <c r="D78" s="14" t="s">
        <v>202</v>
      </c>
      <c r="E78" s="14" t="str">
        <f>"0,8529"</f>
        <v>0,8529</v>
      </c>
      <c r="F78" s="14" t="s">
        <v>2418</v>
      </c>
      <c r="G78" s="15" t="s">
        <v>69</v>
      </c>
      <c r="H78" s="16" t="s">
        <v>55</v>
      </c>
      <c r="I78" s="16" t="s">
        <v>55</v>
      </c>
      <c r="J78" s="17"/>
      <c r="K78" s="40" t="str">
        <f>"110,0"</f>
        <v>110,0</v>
      </c>
      <c r="L78" s="17" t="str">
        <f>"93,8190"</f>
        <v>93,8190</v>
      </c>
      <c r="M78" s="14" t="s">
        <v>2419</v>
      </c>
    </row>
    <row r="79" spans="1:13">
      <c r="A79" s="17" t="s">
        <v>73</v>
      </c>
      <c r="B79" s="14" t="s">
        <v>348</v>
      </c>
      <c r="C79" s="14" t="s">
        <v>349</v>
      </c>
      <c r="D79" s="14" t="s">
        <v>202</v>
      </c>
      <c r="E79" s="14" t="str">
        <f>"0,8529"</f>
        <v>0,8529</v>
      </c>
      <c r="F79" s="14" t="s">
        <v>350</v>
      </c>
      <c r="G79" s="15" t="s">
        <v>46</v>
      </c>
      <c r="H79" s="15" t="s">
        <v>47</v>
      </c>
      <c r="I79" s="16" t="s">
        <v>55</v>
      </c>
      <c r="J79" s="17"/>
      <c r="K79" s="40" t="str">
        <f>"107,5"</f>
        <v>107,5</v>
      </c>
      <c r="L79" s="17" t="str">
        <f>"91,6868"</f>
        <v>91,6868</v>
      </c>
      <c r="M79" s="14" t="s">
        <v>352</v>
      </c>
    </row>
    <row r="80" spans="1:13">
      <c r="A80" s="17" t="s">
        <v>92</v>
      </c>
      <c r="B80" s="14" t="s">
        <v>2420</v>
      </c>
      <c r="C80" s="14" t="s">
        <v>2421</v>
      </c>
      <c r="D80" s="14" t="s">
        <v>2422</v>
      </c>
      <c r="E80" s="14" t="str">
        <f>"0,9088"</f>
        <v>0,9088</v>
      </c>
      <c r="F80" s="14" t="s">
        <v>1620</v>
      </c>
      <c r="G80" s="16" t="s">
        <v>81</v>
      </c>
      <c r="H80" s="16" t="s">
        <v>81</v>
      </c>
      <c r="I80" s="16" t="s">
        <v>81</v>
      </c>
      <c r="J80" s="17"/>
      <c r="K80" s="40">
        <v>0</v>
      </c>
      <c r="L80" s="17" t="str">
        <f>"0,0000"</f>
        <v>0,0000</v>
      </c>
      <c r="M80" s="14" t="s">
        <v>158</v>
      </c>
    </row>
    <row r="81" spans="1:13">
      <c r="A81" s="17" t="s">
        <v>15</v>
      </c>
      <c r="B81" s="14" t="s">
        <v>2423</v>
      </c>
      <c r="C81" s="14" t="s">
        <v>2424</v>
      </c>
      <c r="D81" s="14" t="s">
        <v>198</v>
      </c>
      <c r="E81" s="14" t="str">
        <f>"0,8608"</f>
        <v>0,8608</v>
      </c>
      <c r="F81" s="14" t="s">
        <v>1279</v>
      </c>
      <c r="G81" s="15" t="s">
        <v>49</v>
      </c>
      <c r="H81" s="16" t="s">
        <v>55</v>
      </c>
      <c r="I81" s="16" t="s">
        <v>55</v>
      </c>
      <c r="J81" s="17"/>
      <c r="K81" s="40" t="str">
        <f>"105,0"</f>
        <v>105,0</v>
      </c>
      <c r="L81" s="17" t="str">
        <f>"95,8070"</f>
        <v>95,8070</v>
      </c>
      <c r="M81" s="14" t="s">
        <v>158</v>
      </c>
    </row>
    <row r="82" spans="1:13">
      <c r="A82" s="20" t="s">
        <v>62</v>
      </c>
      <c r="B82" s="18" t="s">
        <v>2425</v>
      </c>
      <c r="C82" s="18" t="s">
        <v>237</v>
      </c>
      <c r="D82" s="18" t="s">
        <v>2426</v>
      </c>
      <c r="E82" s="18" t="str">
        <f>"0,8759"</f>
        <v>0,8759</v>
      </c>
      <c r="F82" s="18" t="s">
        <v>91</v>
      </c>
      <c r="G82" s="19" t="s">
        <v>103</v>
      </c>
      <c r="H82" s="22" t="s">
        <v>26</v>
      </c>
      <c r="I82" s="22" t="s">
        <v>26</v>
      </c>
      <c r="J82" s="20"/>
      <c r="K82" s="38" t="str">
        <f>"50,0"</f>
        <v>50,0</v>
      </c>
      <c r="L82" s="20" t="str">
        <f>"44,4081"</f>
        <v>44,4081</v>
      </c>
      <c r="M82" s="18" t="s">
        <v>2427</v>
      </c>
    </row>
    <row r="83" spans="1:13">
      <c r="B83" s="5" t="s">
        <v>40</v>
      </c>
    </row>
    <row r="84" spans="1:13" ht="15.95">
      <c r="A84" s="102" t="s">
        <v>241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1:13">
      <c r="A85" s="13" t="s">
        <v>15</v>
      </c>
      <c r="B85" s="11" t="s">
        <v>2428</v>
      </c>
      <c r="C85" s="11" t="s">
        <v>2429</v>
      </c>
      <c r="D85" s="11" t="s">
        <v>377</v>
      </c>
      <c r="E85" s="11" t="str">
        <f>"0,7823"</f>
        <v>0,7823</v>
      </c>
      <c r="F85" s="11" t="s">
        <v>2430</v>
      </c>
      <c r="G85" s="12" t="s">
        <v>38</v>
      </c>
      <c r="H85" s="12" t="s">
        <v>47</v>
      </c>
      <c r="I85" s="21" t="s">
        <v>55</v>
      </c>
      <c r="J85" s="13"/>
      <c r="K85" s="37" t="str">
        <f>"107,5"</f>
        <v>107,5</v>
      </c>
      <c r="L85" s="13" t="str">
        <f>"84,0972"</f>
        <v>84,0972</v>
      </c>
      <c r="M85" s="11" t="s">
        <v>2431</v>
      </c>
    </row>
    <row r="86" spans="1:13">
      <c r="A86" s="17" t="s">
        <v>62</v>
      </c>
      <c r="B86" s="14" t="s">
        <v>1413</v>
      </c>
      <c r="C86" s="14" t="s">
        <v>1414</v>
      </c>
      <c r="D86" s="14" t="s">
        <v>252</v>
      </c>
      <c r="E86" s="14" t="str">
        <f>"0,7901"</f>
        <v>0,7901</v>
      </c>
      <c r="F86" s="14" t="s">
        <v>1105</v>
      </c>
      <c r="G86" s="15" t="s">
        <v>68</v>
      </c>
      <c r="H86" s="15" t="s">
        <v>110</v>
      </c>
      <c r="I86" s="15" t="s">
        <v>38</v>
      </c>
      <c r="J86" s="17"/>
      <c r="K86" s="40" t="str">
        <f>"100,0"</f>
        <v>100,0</v>
      </c>
      <c r="L86" s="17" t="str">
        <f>"79,0100"</f>
        <v>79,0100</v>
      </c>
      <c r="M86" s="14" t="s">
        <v>1415</v>
      </c>
    </row>
    <row r="87" spans="1:13">
      <c r="A87" s="17" t="s">
        <v>73</v>
      </c>
      <c r="B87" s="14" t="s">
        <v>2432</v>
      </c>
      <c r="C87" s="14" t="s">
        <v>2433</v>
      </c>
      <c r="D87" s="14" t="s">
        <v>979</v>
      </c>
      <c r="E87" s="14" t="str">
        <f>"0,7756"</f>
        <v>0,7756</v>
      </c>
      <c r="F87" s="14" t="s">
        <v>1121</v>
      </c>
      <c r="G87" s="15" t="s">
        <v>37</v>
      </c>
      <c r="H87" s="15" t="s">
        <v>110</v>
      </c>
      <c r="I87" s="16" t="s">
        <v>38</v>
      </c>
      <c r="J87" s="17"/>
      <c r="K87" s="40" t="str">
        <f>"97,5"</f>
        <v>97,5</v>
      </c>
      <c r="L87" s="17" t="str">
        <f>"75,6210"</f>
        <v>75,6210</v>
      </c>
      <c r="M87" s="14" t="s">
        <v>2434</v>
      </c>
    </row>
    <row r="88" spans="1:13">
      <c r="A88" s="17" t="s">
        <v>75</v>
      </c>
      <c r="B88" s="14" t="s">
        <v>353</v>
      </c>
      <c r="C88" s="14" t="s">
        <v>354</v>
      </c>
      <c r="D88" s="14" t="s">
        <v>355</v>
      </c>
      <c r="E88" s="14" t="str">
        <f>"0,8246"</f>
        <v>0,8246</v>
      </c>
      <c r="F88" s="14" t="s">
        <v>356</v>
      </c>
      <c r="G88" s="16" t="s">
        <v>26</v>
      </c>
      <c r="H88" s="15" t="s">
        <v>26</v>
      </c>
      <c r="I88" s="16" t="s">
        <v>33</v>
      </c>
      <c r="J88" s="17"/>
      <c r="K88" s="40" t="str">
        <f>"60,0"</f>
        <v>60,0</v>
      </c>
      <c r="L88" s="17" t="str">
        <f>"49,4760"</f>
        <v>49,4760</v>
      </c>
      <c r="M88" s="14" t="s">
        <v>158</v>
      </c>
    </row>
    <row r="89" spans="1:13">
      <c r="A89" s="17" t="s">
        <v>15</v>
      </c>
      <c r="B89" s="14" t="s">
        <v>2435</v>
      </c>
      <c r="C89" s="14" t="s">
        <v>2436</v>
      </c>
      <c r="D89" s="14" t="s">
        <v>2437</v>
      </c>
      <c r="E89" s="14" t="str">
        <f>"0,7911"</f>
        <v>0,7911</v>
      </c>
      <c r="F89" s="14" t="s">
        <v>2438</v>
      </c>
      <c r="G89" s="15" t="s">
        <v>56</v>
      </c>
      <c r="H89" s="16" t="s">
        <v>145</v>
      </c>
      <c r="I89" s="17"/>
      <c r="J89" s="17"/>
      <c r="K89" s="40" t="str">
        <f>"115,0"</f>
        <v>115,0</v>
      </c>
      <c r="L89" s="17" t="str">
        <f>"90,9765"</f>
        <v>90,9765</v>
      </c>
      <c r="M89" s="14" t="s">
        <v>158</v>
      </c>
    </row>
    <row r="90" spans="1:13">
      <c r="A90" s="17" t="s">
        <v>62</v>
      </c>
      <c r="B90" s="14" t="s">
        <v>369</v>
      </c>
      <c r="C90" s="14" t="s">
        <v>370</v>
      </c>
      <c r="D90" s="14" t="s">
        <v>244</v>
      </c>
      <c r="E90" s="14" t="str">
        <f>"0,7983"</f>
        <v>0,7983</v>
      </c>
      <c r="F90" s="14" t="s">
        <v>166</v>
      </c>
      <c r="G90" s="15" t="s">
        <v>38</v>
      </c>
      <c r="H90" s="15" t="s">
        <v>49</v>
      </c>
      <c r="I90" s="15" t="s">
        <v>47</v>
      </c>
      <c r="J90" s="17"/>
      <c r="K90" s="40" t="str">
        <f>"107,5"</f>
        <v>107,5</v>
      </c>
      <c r="L90" s="17" t="str">
        <f>"85,8173"</f>
        <v>85,8173</v>
      </c>
      <c r="M90" s="14" t="s">
        <v>167</v>
      </c>
    </row>
    <row r="91" spans="1:13">
      <c r="A91" s="17" t="s">
        <v>73</v>
      </c>
      <c r="B91" s="14" t="s">
        <v>2439</v>
      </c>
      <c r="C91" s="14" t="s">
        <v>2440</v>
      </c>
      <c r="D91" s="14" t="s">
        <v>2441</v>
      </c>
      <c r="E91" s="14" t="str">
        <f>"0,7852"</f>
        <v>0,7852</v>
      </c>
      <c r="F91" s="14" t="s">
        <v>2142</v>
      </c>
      <c r="G91" s="15" t="s">
        <v>37</v>
      </c>
      <c r="H91" s="16" t="s">
        <v>38</v>
      </c>
      <c r="I91" s="15" t="s">
        <v>38</v>
      </c>
      <c r="J91" s="16" t="s">
        <v>47</v>
      </c>
      <c r="K91" s="40" t="str">
        <f>"100,0"</f>
        <v>100,0</v>
      </c>
      <c r="L91" s="17" t="str">
        <f>"78,5200"</f>
        <v>78,5200</v>
      </c>
      <c r="M91" s="14" t="s">
        <v>158</v>
      </c>
    </row>
    <row r="92" spans="1:13">
      <c r="A92" s="17" t="s">
        <v>75</v>
      </c>
      <c r="B92" s="14" t="s">
        <v>2442</v>
      </c>
      <c r="C92" s="14" t="s">
        <v>2443</v>
      </c>
      <c r="D92" s="14" t="s">
        <v>2444</v>
      </c>
      <c r="E92" s="14" t="str">
        <f>"0,8133"</f>
        <v>0,8133</v>
      </c>
      <c r="F92" s="14" t="s">
        <v>644</v>
      </c>
      <c r="G92" s="15" t="s">
        <v>120</v>
      </c>
      <c r="H92" s="16" t="s">
        <v>110</v>
      </c>
      <c r="I92" s="15" t="s">
        <v>110</v>
      </c>
      <c r="J92" s="17"/>
      <c r="K92" s="40" t="str">
        <f>"97,5"</f>
        <v>97,5</v>
      </c>
      <c r="L92" s="17" t="str">
        <f>"79,2968"</f>
        <v>79,2968</v>
      </c>
      <c r="M92" s="14" t="s">
        <v>158</v>
      </c>
    </row>
    <row r="93" spans="1:13">
      <c r="A93" s="17" t="s">
        <v>15</v>
      </c>
      <c r="B93" s="14" t="s">
        <v>375</v>
      </c>
      <c r="C93" s="14" t="s">
        <v>376</v>
      </c>
      <c r="D93" s="14" t="s">
        <v>377</v>
      </c>
      <c r="E93" s="14" t="str">
        <f>"0,7823"</f>
        <v>0,7823</v>
      </c>
      <c r="F93" s="14" t="s">
        <v>378</v>
      </c>
      <c r="G93" s="15" t="s">
        <v>70</v>
      </c>
      <c r="H93" s="15" t="s">
        <v>145</v>
      </c>
      <c r="I93" s="16" t="s">
        <v>71</v>
      </c>
      <c r="J93" s="17"/>
      <c r="K93" s="40" t="str">
        <f>"125,0"</f>
        <v>125,0</v>
      </c>
      <c r="L93" s="17" t="str">
        <f>"97,7875"</f>
        <v>97,7875</v>
      </c>
      <c r="M93" s="14" t="s">
        <v>379</v>
      </c>
    </row>
    <row r="94" spans="1:13">
      <c r="A94" s="17" t="s">
        <v>62</v>
      </c>
      <c r="B94" s="14" t="s">
        <v>2445</v>
      </c>
      <c r="C94" s="14" t="s">
        <v>2446</v>
      </c>
      <c r="D94" s="14" t="s">
        <v>2437</v>
      </c>
      <c r="E94" s="14" t="str">
        <f>"0,7911"</f>
        <v>0,7911</v>
      </c>
      <c r="F94" s="14" t="s">
        <v>2447</v>
      </c>
      <c r="G94" s="15" t="s">
        <v>38</v>
      </c>
      <c r="H94" s="15" t="s">
        <v>47</v>
      </c>
      <c r="I94" s="15" t="s">
        <v>69</v>
      </c>
      <c r="J94" s="17"/>
      <c r="K94" s="40" t="str">
        <f>"110,0"</f>
        <v>110,0</v>
      </c>
      <c r="L94" s="17" t="str">
        <f>"87,0210"</f>
        <v>87,0210</v>
      </c>
      <c r="M94" s="14" t="s">
        <v>158</v>
      </c>
    </row>
    <row r="95" spans="1:13">
      <c r="A95" s="17" t="s">
        <v>73</v>
      </c>
      <c r="B95" s="14" t="s">
        <v>2448</v>
      </c>
      <c r="C95" s="14" t="s">
        <v>2449</v>
      </c>
      <c r="D95" s="14" t="s">
        <v>2372</v>
      </c>
      <c r="E95" s="14" t="str">
        <f>"0,7952"</f>
        <v>0,7952</v>
      </c>
      <c r="F95" s="14" t="s">
        <v>91</v>
      </c>
      <c r="G95" s="16" t="s">
        <v>36</v>
      </c>
      <c r="H95" s="15" t="s">
        <v>36</v>
      </c>
      <c r="I95" s="16" t="s">
        <v>110</v>
      </c>
      <c r="J95" s="17"/>
      <c r="K95" s="40" t="str">
        <f>"90,0"</f>
        <v>90,0</v>
      </c>
      <c r="L95" s="17" t="str">
        <f>"71,5680"</f>
        <v>71,5680</v>
      </c>
      <c r="M95" s="14" t="s">
        <v>2450</v>
      </c>
    </row>
    <row r="96" spans="1:13">
      <c r="A96" s="17" t="s">
        <v>15</v>
      </c>
      <c r="B96" s="14" t="s">
        <v>2451</v>
      </c>
      <c r="C96" s="14" t="s">
        <v>2452</v>
      </c>
      <c r="D96" s="14" t="s">
        <v>970</v>
      </c>
      <c r="E96" s="14" t="str">
        <f>"0,7710"</f>
        <v>0,7710</v>
      </c>
      <c r="F96" s="14" t="s">
        <v>403</v>
      </c>
      <c r="G96" s="15" t="s">
        <v>59</v>
      </c>
      <c r="H96" s="15" t="s">
        <v>60</v>
      </c>
      <c r="I96" s="16" t="s">
        <v>342</v>
      </c>
      <c r="J96" s="17"/>
      <c r="K96" s="40" t="str">
        <f>"150,0"</f>
        <v>150,0</v>
      </c>
      <c r="L96" s="17" t="str">
        <f>"115,6500"</f>
        <v>115,6500</v>
      </c>
      <c r="M96" s="14" t="s">
        <v>2413</v>
      </c>
    </row>
    <row r="97" spans="1:13">
      <c r="A97" s="17" t="s">
        <v>62</v>
      </c>
      <c r="B97" s="14" t="s">
        <v>2453</v>
      </c>
      <c r="C97" s="14" t="s">
        <v>2454</v>
      </c>
      <c r="D97" s="14" t="s">
        <v>373</v>
      </c>
      <c r="E97" s="14" t="str">
        <f>"0,7747"</f>
        <v>0,7747</v>
      </c>
      <c r="F97" s="14" t="s">
        <v>2455</v>
      </c>
      <c r="G97" s="15" t="s">
        <v>58</v>
      </c>
      <c r="H97" s="15" t="s">
        <v>59</v>
      </c>
      <c r="I97" s="16" t="s">
        <v>60</v>
      </c>
      <c r="J97" s="17"/>
      <c r="K97" s="40" t="str">
        <f>"145,0"</f>
        <v>145,0</v>
      </c>
      <c r="L97" s="17" t="str">
        <f>"112,3315"</f>
        <v>112,3315</v>
      </c>
      <c r="M97" s="14" t="s">
        <v>2431</v>
      </c>
    </row>
    <row r="98" spans="1:13">
      <c r="A98" s="17" t="s">
        <v>73</v>
      </c>
      <c r="B98" s="14" t="s">
        <v>2456</v>
      </c>
      <c r="C98" s="14" t="s">
        <v>2457</v>
      </c>
      <c r="D98" s="14" t="s">
        <v>970</v>
      </c>
      <c r="E98" s="14" t="str">
        <f>"0,7710"</f>
        <v>0,7710</v>
      </c>
      <c r="F98" s="14" t="s">
        <v>2458</v>
      </c>
      <c r="G98" s="15" t="s">
        <v>145</v>
      </c>
      <c r="H98" s="15" t="s">
        <v>157</v>
      </c>
      <c r="I98" s="16" t="s">
        <v>147</v>
      </c>
      <c r="J98" s="17"/>
      <c r="K98" s="40" t="str">
        <f>"132,5"</f>
        <v>132,5</v>
      </c>
      <c r="L98" s="17" t="str">
        <f>"102,1575"</f>
        <v>102,1575</v>
      </c>
      <c r="M98" s="14" t="s">
        <v>343</v>
      </c>
    </row>
    <row r="99" spans="1:13">
      <c r="A99" s="17" t="s">
        <v>75</v>
      </c>
      <c r="B99" s="14" t="s">
        <v>2459</v>
      </c>
      <c r="C99" s="14" t="s">
        <v>2460</v>
      </c>
      <c r="D99" s="14" t="s">
        <v>970</v>
      </c>
      <c r="E99" s="14" t="str">
        <f>"0,7710"</f>
        <v>0,7710</v>
      </c>
      <c r="F99" s="14" t="s">
        <v>2461</v>
      </c>
      <c r="G99" s="15" t="s">
        <v>56</v>
      </c>
      <c r="H99" s="15" t="s">
        <v>145</v>
      </c>
      <c r="I99" s="16" t="s">
        <v>209</v>
      </c>
      <c r="J99" s="17"/>
      <c r="K99" s="40" t="str">
        <f>"125,0"</f>
        <v>125,0</v>
      </c>
      <c r="L99" s="17" t="str">
        <f>"96,3750"</f>
        <v>96,3750</v>
      </c>
      <c r="M99" s="14" t="s">
        <v>158</v>
      </c>
    </row>
    <row r="100" spans="1:13">
      <c r="A100" s="17" t="s">
        <v>87</v>
      </c>
      <c r="B100" s="14" t="s">
        <v>2462</v>
      </c>
      <c r="C100" s="14" t="s">
        <v>2463</v>
      </c>
      <c r="D100" s="14" t="s">
        <v>2464</v>
      </c>
      <c r="E100" s="14" t="str">
        <f>"0,8067"</f>
        <v>0,8067</v>
      </c>
      <c r="F100" s="14" t="s">
        <v>2465</v>
      </c>
      <c r="G100" s="15" t="s">
        <v>36</v>
      </c>
      <c r="H100" s="16" t="s">
        <v>110</v>
      </c>
      <c r="I100" s="16" t="s">
        <v>110</v>
      </c>
      <c r="J100" s="17"/>
      <c r="K100" s="40" t="str">
        <f>"90,0"</f>
        <v>90,0</v>
      </c>
      <c r="L100" s="17" t="str">
        <f>"72,6030"</f>
        <v>72,6030</v>
      </c>
      <c r="M100" s="14" t="s">
        <v>158</v>
      </c>
    </row>
    <row r="101" spans="1:13">
      <c r="A101" s="17" t="s">
        <v>15</v>
      </c>
      <c r="B101" s="14" t="s">
        <v>2453</v>
      </c>
      <c r="C101" s="14" t="s">
        <v>2466</v>
      </c>
      <c r="D101" s="14" t="s">
        <v>373</v>
      </c>
      <c r="E101" s="14" t="str">
        <f>"0,7747"</f>
        <v>0,7747</v>
      </c>
      <c r="F101" s="14" t="s">
        <v>2430</v>
      </c>
      <c r="G101" s="15" t="s">
        <v>58</v>
      </c>
      <c r="H101" s="15" t="s">
        <v>59</v>
      </c>
      <c r="I101" s="16" t="s">
        <v>60</v>
      </c>
      <c r="J101" s="17"/>
      <c r="K101" s="40" t="str">
        <f>"145,0"</f>
        <v>145,0</v>
      </c>
      <c r="L101" s="17" t="str">
        <f>"133,3375"</f>
        <v>133,3375</v>
      </c>
      <c r="M101" s="14" t="s">
        <v>2431</v>
      </c>
    </row>
    <row r="102" spans="1:13">
      <c r="A102" s="20" t="s">
        <v>15</v>
      </c>
      <c r="B102" s="18" t="s">
        <v>2467</v>
      </c>
      <c r="C102" s="18" t="s">
        <v>2468</v>
      </c>
      <c r="D102" s="18" t="s">
        <v>2469</v>
      </c>
      <c r="E102" s="18" t="str">
        <f>"0,7775"</f>
        <v>0,7775</v>
      </c>
      <c r="F102" s="18" t="s">
        <v>2470</v>
      </c>
      <c r="G102" s="19" t="s">
        <v>37</v>
      </c>
      <c r="H102" s="19" t="s">
        <v>38</v>
      </c>
      <c r="I102" s="19" t="s">
        <v>49</v>
      </c>
      <c r="J102" s="20"/>
      <c r="K102" s="38" t="str">
        <f>"105,0"</f>
        <v>105,0</v>
      </c>
      <c r="L102" s="20" t="str">
        <f>"122,5379"</f>
        <v>122,5379</v>
      </c>
      <c r="M102" s="18" t="s">
        <v>2471</v>
      </c>
    </row>
    <row r="103" spans="1:13">
      <c r="B103" s="5" t="s">
        <v>40</v>
      </c>
    </row>
    <row r="104" spans="1:13" ht="15.95">
      <c r="A104" s="102" t="s">
        <v>301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</row>
    <row r="105" spans="1:13">
      <c r="A105" s="13" t="s">
        <v>15</v>
      </c>
      <c r="B105" s="11" t="s">
        <v>388</v>
      </c>
      <c r="C105" s="11" t="s">
        <v>389</v>
      </c>
      <c r="D105" s="11" t="s">
        <v>390</v>
      </c>
      <c r="E105" s="11" t="str">
        <f>"0,7200"</f>
        <v>0,7200</v>
      </c>
      <c r="F105" s="11" t="s">
        <v>391</v>
      </c>
      <c r="G105" s="12" t="s">
        <v>55</v>
      </c>
      <c r="H105" s="12" t="s">
        <v>84</v>
      </c>
      <c r="I105" s="21" t="s">
        <v>162</v>
      </c>
      <c r="J105" s="13"/>
      <c r="K105" s="37" t="str">
        <f>"117,5"</f>
        <v>117,5</v>
      </c>
      <c r="L105" s="13" t="str">
        <f>"84,6000"</f>
        <v>84,6000</v>
      </c>
      <c r="M105" s="11" t="s">
        <v>393</v>
      </c>
    </row>
    <row r="106" spans="1:13">
      <c r="A106" s="17" t="s">
        <v>62</v>
      </c>
      <c r="B106" s="14" t="s">
        <v>2472</v>
      </c>
      <c r="C106" s="14" t="s">
        <v>2473</v>
      </c>
      <c r="D106" s="14" t="s">
        <v>949</v>
      </c>
      <c r="E106" s="14" t="str">
        <f>"0,7235"</f>
        <v>0,7235</v>
      </c>
      <c r="F106" s="14" t="s">
        <v>2474</v>
      </c>
      <c r="G106" s="15" t="s">
        <v>67</v>
      </c>
      <c r="H106" s="15" t="s">
        <v>36</v>
      </c>
      <c r="I106" s="15" t="s">
        <v>37</v>
      </c>
      <c r="J106" s="17"/>
      <c r="K106" s="40" t="str">
        <f>"95,0"</f>
        <v>95,0</v>
      </c>
      <c r="L106" s="17" t="str">
        <f>"68,7325"</f>
        <v>68,7325</v>
      </c>
      <c r="M106" s="14" t="s">
        <v>2475</v>
      </c>
    </row>
    <row r="107" spans="1:13">
      <c r="A107" s="17" t="s">
        <v>15</v>
      </c>
      <c r="B107" s="14" t="s">
        <v>2476</v>
      </c>
      <c r="C107" s="14" t="s">
        <v>2477</v>
      </c>
      <c r="D107" s="14" t="s">
        <v>2478</v>
      </c>
      <c r="E107" s="14" t="str">
        <f>"0,7674"</f>
        <v>0,7674</v>
      </c>
      <c r="F107" s="14" t="s">
        <v>2321</v>
      </c>
      <c r="G107" s="15" t="s">
        <v>120</v>
      </c>
      <c r="H107" s="15" t="s">
        <v>36</v>
      </c>
      <c r="I107" s="16" t="s">
        <v>68</v>
      </c>
      <c r="J107" s="17"/>
      <c r="K107" s="40" t="str">
        <f>"90,0"</f>
        <v>90,0</v>
      </c>
      <c r="L107" s="17" t="str">
        <f>"69,0660"</f>
        <v>69,0660</v>
      </c>
      <c r="M107" s="14" t="s">
        <v>2322</v>
      </c>
    </row>
    <row r="108" spans="1:13">
      <c r="A108" s="17" t="s">
        <v>62</v>
      </c>
      <c r="B108" s="14" t="s">
        <v>2479</v>
      </c>
      <c r="C108" s="14" t="s">
        <v>2480</v>
      </c>
      <c r="D108" s="14" t="s">
        <v>2481</v>
      </c>
      <c r="E108" s="14" t="str">
        <f>"0,7544"</f>
        <v>0,7544</v>
      </c>
      <c r="F108" s="14" t="s">
        <v>1309</v>
      </c>
      <c r="G108" s="15" t="s">
        <v>36</v>
      </c>
      <c r="H108" s="16" t="s">
        <v>37</v>
      </c>
      <c r="I108" s="16" t="s">
        <v>37</v>
      </c>
      <c r="J108" s="17"/>
      <c r="K108" s="40" t="str">
        <f>"90,0"</f>
        <v>90,0</v>
      </c>
      <c r="L108" s="17" t="str">
        <f>"67,8960"</f>
        <v>67,8960</v>
      </c>
      <c r="M108" s="14" t="s">
        <v>2386</v>
      </c>
    </row>
    <row r="109" spans="1:13">
      <c r="A109" s="17" t="s">
        <v>73</v>
      </c>
      <c r="B109" s="14" t="s">
        <v>412</v>
      </c>
      <c r="C109" s="14" t="s">
        <v>413</v>
      </c>
      <c r="D109" s="14" t="s">
        <v>331</v>
      </c>
      <c r="E109" s="14" t="str">
        <f>"0,7126"</f>
        <v>0,7126</v>
      </c>
      <c r="F109" s="14" t="s">
        <v>309</v>
      </c>
      <c r="G109" s="15" t="s">
        <v>32</v>
      </c>
      <c r="H109" s="15" t="s">
        <v>33</v>
      </c>
      <c r="I109" s="15" t="s">
        <v>80</v>
      </c>
      <c r="J109" s="17"/>
      <c r="K109" s="40" t="str">
        <f>"75,0"</f>
        <v>75,0</v>
      </c>
      <c r="L109" s="17" t="str">
        <f>"53,4450"</f>
        <v>53,4450</v>
      </c>
      <c r="M109" s="14" t="s">
        <v>310</v>
      </c>
    </row>
    <row r="110" spans="1:13">
      <c r="A110" s="17" t="s">
        <v>92</v>
      </c>
      <c r="B110" s="14" t="s">
        <v>2482</v>
      </c>
      <c r="C110" s="14" t="s">
        <v>2483</v>
      </c>
      <c r="D110" s="14" t="s">
        <v>331</v>
      </c>
      <c r="E110" s="14" t="str">
        <f>"0,7126"</f>
        <v>0,7126</v>
      </c>
      <c r="F110" s="14" t="s">
        <v>91</v>
      </c>
      <c r="G110" s="16" t="s">
        <v>55</v>
      </c>
      <c r="H110" s="16" t="s">
        <v>55</v>
      </c>
      <c r="I110" s="16" t="s">
        <v>55</v>
      </c>
      <c r="J110" s="17"/>
      <c r="K110" s="40">
        <v>0</v>
      </c>
      <c r="L110" s="17" t="str">
        <f>"0,0000"</f>
        <v>0,0000</v>
      </c>
      <c r="M110" s="14" t="s">
        <v>158</v>
      </c>
    </row>
    <row r="111" spans="1:13">
      <c r="A111" s="17" t="s">
        <v>15</v>
      </c>
      <c r="B111" s="14" t="s">
        <v>2484</v>
      </c>
      <c r="C111" s="14" t="s">
        <v>2485</v>
      </c>
      <c r="D111" s="14" t="s">
        <v>949</v>
      </c>
      <c r="E111" s="14" t="str">
        <f>"0,7235"</f>
        <v>0,7235</v>
      </c>
      <c r="F111" s="14" t="s">
        <v>2486</v>
      </c>
      <c r="G111" s="16" t="s">
        <v>427</v>
      </c>
      <c r="H111" s="15" t="s">
        <v>152</v>
      </c>
      <c r="I111" s="15" t="s">
        <v>347</v>
      </c>
      <c r="J111" s="16" t="s">
        <v>248</v>
      </c>
      <c r="K111" s="40" t="str">
        <f>"167,5"</f>
        <v>167,5</v>
      </c>
      <c r="L111" s="17" t="str">
        <f>"121,1863"</f>
        <v>121,1863</v>
      </c>
      <c r="M111" s="14" t="s">
        <v>1415</v>
      </c>
    </row>
    <row r="112" spans="1:13">
      <c r="A112" s="17" t="s">
        <v>62</v>
      </c>
      <c r="B112" s="14" t="s">
        <v>2487</v>
      </c>
      <c r="C112" s="14" t="s">
        <v>2488</v>
      </c>
      <c r="D112" s="14" t="s">
        <v>308</v>
      </c>
      <c r="E112" s="14" t="str">
        <f>"0,7132"</f>
        <v>0,7132</v>
      </c>
      <c r="F112" s="14" t="s">
        <v>2489</v>
      </c>
      <c r="G112" s="15" t="s">
        <v>151</v>
      </c>
      <c r="H112" s="16" t="s">
        <v>152</v>
      </c>
      <c r="I112" s="16" t="s">
        <v>248</v>
      </c>
      <c r="J112" s="17"/>
      <c r="K112" s="40" t="str">
        <f>"160,0"</f>
        <v>160,0</v>
      </c>
      <c r="L112" s="17" t="str">
        <f>"114,1120"</f>
        <v>114,1120</v>
      </c>
      <c r="M112" s="14" t="s">
        <v>2490</v>
      </c>
    </row>
    <row r="113" spans="1:13">
      <c r="A113" s="17" t="s">
        <v>73</v>
      </c>
      <c r="B113" s="14" t="s">
        <v>423</v>
      </c>
      <c r="C113" s="14" t="s">
        <v>424</v>
      </c>
      <c r="D113" s="14" t="s">
        <v>425</v>
      </c>
      <c r="E113" s="14" t="str">
        <f>"0,7461"</f>
        <v>0,7461</v>
      </c>
      <c r="F113" s="14" t="s">
        <v>2491</v>
      </c>
      <c r="G113" s="15" t="s">
        <v>145</v>
      </c>
      <c r="H113" s="15" t="s">
        <v>71</v>
      </c>
      <c r="I113" s="16" t="s">
        <v>209</v>
      </c>
      <c r="J113" s="17"/>
      <c r="K113" s="40" t="str">
        <f>"130,0"</f>
        <v>130,0</v>
      </c>
      <c r="L113" s="17" t="str">
        <f>"96,9930"</f>
        <v>96,9930</v>
      </c>
      <c r="M113" s="14" t="s">
        <v>428</v>
      </c>
    </row>
    <row r="114" spans="1:13">
      <c r="A114" s="17" t="s">
        <v>15</v>
      </c>
      <c r="B114" s="14" t="s">
        <v>2492</v>
      </c>
      <c r="C114" s="14" t="s">
        <v>2493</v>
      </c>
      <c r="D114" s="14" t="s">
        <v>1403</v>
      </c>
      <c r="E114" s="14" t="str">
        <f>"0,7193"</f>
        <v>0,7193</v>
      </c>
      <c r="F114" s="14" t="s">
        <v>906</v>
      </c>
      <c r="G114" s="15" t="s">
        <v>398</v>
      </c>
      <c r="H114" s="16" t="s">
        <v>2494</v>
      </c>
      <c r="I114" s="16" t="s">
        <v>2494</v>
      </c>
      <c r="J114" s="17"/>
      <c r="K114" s="40" t="str">
        <f>"180,0"</f>
        <v>180,0</v>
      </c>
      <c r="L114" s="17" t="str">
        <f>"129,4740"</f>
        <v>129,4740</v>
      </c>
      <c r="M114" s="14" t="s">
        <v>2495</v>
      </c>
    </row>
    <row r="115" spans="1:13">
      <c r="A115" s="17" t="s">
        <v>62</v>
      </c>
      <c r="B115" s="14" t="s">
        <v>2496</v>
      </c>
      <c r="C115" s="14" t="s">
        <v>2497</v>
      </c>
      <c r="D115" s="14" t="s">
        <v>440</v>
      </c>
      <c r="E115" s="14" t="str">
        <f>"0,7173"</f>
        <v>0,7173</v>
      </c>
      <c r="F115" s="14" t="s">
        <v>176</v>
      </c>
      <c r="G115" s="16" t="s">
        <v>347</v>
      </c>
      <c r="H115" s="15" t="s">
        <v>347</v>
      </c>
      <c r="I115" s="16" t="s">
        <v>398</v>
      </c>
      <c r="J115" s="17"/>
      <c r="K115" s="40" t="str">
        <f>"167,5"</f>
        <v>167,5</v>
      </c>
      <c r="L115" s="17" t="str">
        <f>"120,1477"</f>
        <v>120,1477</v>
      </c>
      <c r="M115" s="14" t="s">
        <v>158</v>
      </c>
    </row>
    <row r="116" spans="1:13">
      <c r="A116" s="17" t="s">
        <v>73</v>
      </c>
      <c r="B116" s="14" t="s">
        <v>2487</v>
      </c>
      <c r="C116" s="14" t="s">
        <v>2498</v>
      </c>
      <c r="D116" s="14" t="s">
        <v>308</v>
      </c>
      <c r="E116" s="14" t="str">
        <f>"0,7132"</f>
        <v>0,7132</v>
      </c>
      <c r="F116" s="14" t="s">
        <v>2499</v>
      </c>
      <c r="G116" s="15" t="s">
        <v>151</v>
      </c>
      <c r="H116" s="16" t="s">
        <v>152</v>
      </c>
      <c r="I116" s="16" t="s">
        <v>248</v>
      </c>
      <c r="J116" s="17"/>
      <c r="K116" s="40" t="str">
        <f>"160,0"</f>
        <v>160,0</v>
      </c>
      <c r="L116" s="17" t="str">
        <f>"114,1120"</f>
        <v>114,1120</v>
      </c>
      <c r="M116" s="14" t="s">
        <v>2490</v>
      </c>
    </row>
    <row r="117" spans="1:13">
      <c r="A117" s="17" t="s">
        <v>75</v>
      </c>
      <c r="B117" s="14" t="s">
        <v>2500</v>
      </c>
      <c r="C117" s="14" t="s">
        <v>2501</v>
      </c>
      <c r="D117" s="14" t="s">
        <v>331</v>
      </c>
      <c r="E117" s="14" t="str">
        <f>"0,7126"</f>
        <v>0,7126</v>
      </c>
      <c r="F117" s="14" t="s">
        <v>2502</v>
      </c>
      <c r="G117" s="15" t="s">
        <v>59</v>
      </c>
      <c r="H117" s="15" t="s">
        <v>60</v>
      </c>
      <c r="I117" s="15" t="s">
        <v>342</v>
      </c>
      <c r="J117" s="17"/>
      <c r="K117" s="40" t="str">
        <f>"152,5"</f>
        <v>152,5</v>
      </c>
      <c r="L117" s="17" t="str">
        <f>"108,6715"</f>
        <v>108,6715</v>
      </c>
      <c r="M117" s="14" t="s">
        <v>158</v>
      </c>
    </row>
    <row r="118" spans="1:13">
      <c r="A118" s="17" t="s">
        <v>87</v>
      </c>
      <c r="B118" s="14" t="s">
        <v>2503</v>
      </c>
      <c r="C118" s="14" t="s">
        <v>2504</v>
      </c>
      <c r="D118" s="14" t="s">
        <v>2505</v>
      </c>
      <c r="E118" s="14" t="str">
        <f>"0,7207"</f>
        <v>0,7207</v>
      </c>
      <c r="F118" s="14" t="s">
        <v>2506</v>
      </c>
      <c r="G118" s="15" t="s">
        <v>60</v>
      </c>
      <c r="H118" s="16" t="s">
        <v>254</v>
      </c>
      <c r="I118" s="16" t="s">
        <v>254</v>
      </c>
      <c r="J118" s="17"/>
      <c r="K118" s="40" t="str">
        <f>"150,0"</f>
        <v>150,0</v>
      </c>
      <c r="L118" s="17" t="str">
        <f>"108,1050"</f>
        <v>108,1050</v>
      </c>
      <c r="M118" s="14" t="s">
        <v>2507</v>
      </c>
    </row>
    <row r="119" spans="1:13">
      <c r="A119" s="17" t="s">
        <v>168</v>
      </c>
      <c r="B119" s="14" t="s">
        <v>2508</v>
      </c>
      <c r="C119" s="14" t="s">
        <v>2509</v>
      </c>
      <c r="D119" s="14" t="s">
        <v>2510</v>
      </c>
      <c r="E119" s="14" t="str">
        <f>"0,7186"</f>
        <v>0,7186</v>
      </c>
      <c r="F119" s="14" t="s">
        <v>91</v>
      </c>
      <c r="G119" s="15" t="s">
        <v>59</v>
      </c>
      <c r="H119" s="16" t="s">
        <v>205</v>
      </c>
      <c r="I119" s="16" t="s">
        <v>205</v>
      </c>
      <c r="J119" s="17"/>
      <c r="K119" s="40" t="str">
        <f>"145,0"</f>
        <v>145,0</v>
      </c>
      <c r="L119" s="17" t="str">
        <f>"104,1970"</f>
        <v>104,1970</v>
      </c>
      <c r="M119" s="14" t="s">
        <v>158</v>
      </c>
    </row>
    <row r="120" spans="1:13">
      <c r="A120" s="17" t="s">
        <v>172</v>
      </c>
      <c r="B120" s="14" t="s">
        <v>2511</v>
      </c>
      <c r="C120" s="14" t="s">
        <v>2512</v>
      </c>
      <c r="D120" s="14" t="s">
        <v>402</v>
      </c>
      <c r="E120" s="14" t="str">
        <f>"0,7285"</f>
        <v>0,7285</v>
      </c>
      <c r="F120" s="14" t="s">
        <v>2513</v>
      </c>
      <c r="G120" s="16" t="s">
        <v>209</v>
      </c>
      <c r="H120" s="15" t="s">
        <v>58</v>
      </c>
      <c r="I120" s="16" t="s">
        <v>60</v>
      </c>
      <c r="J120" s="17"/>
      <c r="K120" s="40" t="str">
        <f>"140,0"</f>
        <v>140,0</v>
      </c>
      <c r="L120" s="17" t="str">
        <f>"101,9900"</f>
        <v>101,9900</v>
      </c>
      <c r="M120" s="14" t="s">
        <v>158</v>
      </c>
    </row>
    <row r="121" spans="1:13">
      <c r="A121" s="17" t="s">
        <v>178</v>
      </c>
      <c r="B121" s="14" t="s">
        <v>2514</v>
      </c>
      <c r="C121" s="14" t="s">
        <v>2515</v>
      </c>
      <c r="D121" s="14" t="s">
        <v>451</v>
      </c>
      <c r="E121" s="14" t="str">
        <f>"0,7242"</f>
        <v>0,7242</v>
      </c>
      <c r="F121" s="14" t="s">
        <v>91</v>
      </c>
      <c r="G121" s="15" t="s">
        <v>71</v>
      </c>
      <c r="H121" s="15" t="s">
        <v>209</v>
      </c>
      <c r="I121" s="16" t="s">
        <v>58</v>
      </c>
      <c r="J121" s="17"/>
      <c r="K121" s="40" t="str">
        <f>"135,0"</f>
        <v>135,0</v>
      </c>
      <c r="L121" s="17" t="str">
        <f>"97,7670"</f>
        <v>97,7670</v>
      </c>
      <c r="M121" s="14" t="s">
        <v>158</v>
      </c>
    </row>
    <row r="122" spans="1:13">
      <c r="A122" s="17" t="s">
        <v>183</v>
      </c>
      <c r="B122" s="14" t="s">
        <v>2516</v>
      </c>
      <c r="C122" s="14" t="s">
        <v>2517</v>
      </c>
      <c r="D122" s="14" t="s">
        <v>331</v>
      </c>
      <c r="E122" s="14" t="str">
        <f>"0,7126"</f>
        <v>0,7126</v>
      </c>
      <c r="F122" s="14" t="s">
        <v>2518</v>
      </c>
      <c r="G122" s="15" t="s">
        <v>71</v>
      </c>
      <c r="H122" s="15" t="s">
        <v>209</v>
      </c>
      <c r="I122" s="16" t="s">
        <v>59</v>
      </c>
      <c r="J122" s="17"/>
      <c r="K122" s="40" t="str">
        <f>"135,0"</f>
        <v>135,0</v>
      </c>
      <c r="L122" s="17" t="str">
        <f>"96,2010"</f>
        <v>96,2010</v>
      </c>
      <c r="M122" s="14" t="s">
        <v>158</v>
      </c>
    </row>
    <row r="123" spans="1:13">
      <c r="A123" s="17" t="s">
        <v>186</v>
      </c>
      <c r="B123" s="14" t="s">
        <v>2519</v>
      </c>
      <c r="C123" s="14" t="s">
        <v>807</v>
      </c>
      <c r="D123" s="14" t="s">
        <v>2520</v>
      </c>
      <c r="E123" s="14" t="str">
        <f>"0,7322"</f>
        <v>0,7322</v>
      </c>
      <c r="F123" s="14" t="s">
        <v>1538</v>
      </c>
      <c r="G123" s="15" t="s">
        <v>145</v>
      </c>
      <c r="H123" s="16" t="s">
        <v>71</v>
      </c>
      <c r="I123" s="16" t="s">
        <v>209</v>
      </c>
      <c r="J123" s="17"/>
      <c r="K123" s="40" t="str">
        <f>"125,0"</f>
        <v>125,0</v>
      </c>
      <c r="L123" s="17" t="str">
        <f>"91,5250"</f>
        <v>91,5250</v>
      </c>
      <c r="M123" s="14" t="s">
        <v>158</v>
      </c>
    </row>
    <row r="124" spans="1:13">
      <c r="A124" s="17" t="s">
        <v>556</v>
      </c>
      <c r="B124" s="14" t="s">
        <v>2521</v>
      </c>
      <c r="C124" s="14" t="s">
        <v>2522</v>
      </c>
      <c r="D124" s="14" t="s">
        <v>308</v>
      </c>
      <c r="E124" s="14" t="str">
        <f>"0,7132"</f>
        <v>0,7132</v>
      </c>
      <c r="F124" s="14" t="s">
        <v>1121</v>
      </c>
      <c r="G124" s="16" t="s">
        <v>84</v>
      </c>
      <c r="H124" s="15" t="s">
        <v>70</v>
      </c>
      <c r="I124" s="16" t="s">
        <v>145</v>
      </c>
      <c r="J124" s="17"/>
      <c r="K124" s="40" t="str">
        <f>"120,0"</f>
        <v>120,0</v>
      </c>
      <c r="L124" s="17" t="str">
        <f>"85,5840"</f>
        <v>85,5840</v>
      </c>
      <c r="M124" s="14" t="s">
        <v>2434</v>
      </c>
    </row>
    <row r="125" spans="1:13">
      <c r="A125" s="17" t="s">
        <v>559</v>
      </c>
      <c r="B125" s="14" t="s">
        <v>2523</v>
      </c>
      <c r="C125" s="14" t="s">
        <v>969</v>
      </c>
      <c r="D125" s="14" t="s">
        <v>396</v>
      </c>
      <c r="E125" s="14" t="str">
        <f>"0,7256"</f>
        <v>0,7256</v>
      </c>
      <c r="F125" s="14" t="s">
        <v>2524</v>
      </c>
      <c r="G125" s="15" t="s">
        <v>84</v>
      </c>
      <c r="H125" s="16" t="s">
        <v>162</v>
      </c>
      <c r="I125" s="16" t="s">
        <v>162</v>
      </c>
      <c r="J125" s="17"/>
      <c r="K125" s="40" t="str">
        <f>"117,5"</f>
        <v>117,5</v>
      </c>
      <c r="L125" s="17" t="str">
        <f>"85,2580"</f>
        <v>85,2580</v>
      </c>
      <c r="M125" s="14" t="s">
        <v>158</v>
      </c>
    </row>
    <row r="126" spans="1:13">
      <c r="A126" s="17" t="s">
        <v>564</v>
      </c>
      <c r="B126" s="14" t="s">
        <v>2525</v>
      </c>
      <c r="C126" s="14" t="s">
        <v>2526</v>
      </c>
      <c r="D126" s="14" t="s">
        <v>331</v>
      </c>
      <c r="E126" s="14" t="str">
        <f>"0,7126"</f>
        <v>0,7126</v>
      </c>
      <c r="F126" s="14" t="s">
        <v>232</v>
      </c>
      <c r="G126" s="15" t="s">
        <v>56</v>
      </c>
      <c r="H126" s="16" t="s">
        <v>70</v>
      </c>
      <c r="I126" s="16" t="s">
        <v>70</v>
      </c>
      <c r="J126" s="17"/>
      <c r="K126" s="40" t="str">
        <f>"115,0"</f>
        <v>115,0</v>
      </c>
      <c r="L126" s="17" t="str">
        <f>"81,9490"</f>
        <v>81,9490</v>
      </c>
      <c r="M126" s="14" t="s">
        <v>1183</v>
      </c>
    </row>
    <row r="127" spans="1:13">
      <c r="A127" s="17" t="s">
        <v>569</v>
      </c>
      <c r="B127" s="14" t="s">
        <v>2527</v>
      </c>
      <c r="C127" s="14" t="s">
        <v>2528</v>
      </c>
      <c r="D127" s="14" t="s">
        <v>2505</v>
      </c>
      <c r="E127" s="14" t="str">
        <f>"0,7207"</f>
        <v>0,7207</v>
      </c>
      <c r="F127" s="14" t="s">
        <v>91</v>
      </c>
      <c r="G127" s="15" t="s">
        <v>38</v>
      </c>
      <c r="H127" s="16" t="s">
        <v>47</v>
      </c>
      <c r="I127" s="15" t="s">
        <v>55</v>
      </c>
      <c r="J127" s="17"/>
      <c r="K127" s="40" t="str">
        <f>"112,5"</f>
        <v>112,5</v>
      </c>
      <c r="L127" s="17" t="str">
        <f>"81,0788"</f>
        <v>81,0788</v>
      </c>
      <c r="M127" s="14" t="s">
        <v>2529</v>
      </c>
    </row>
    <row r="128" spans="1:13">
      <c r="A128" s="17" t="s">
        <v>572</v>
      </c>
      <c r="B128" s="14" t="s">
        <v>2530</v>
      </c>
      <c r="C128" s="14" t="s">
        <v>2531</v>
      </c>
      <c r="D128" s="14" t="s">
        <v>419</v>
      </c>
      <c r="E128" s="14" t="str">
        <f>"0,7166"</f>
        <v>0,7166</v>
      </c>
      <c r="F128" s="14" t="s">
        <v>91</v>
      </c>
      <c r="G128" s="15" t="s">
        <v>69</v>
      </c>
      <c r="H128" s="16" t="s">
        <v>84</v>
      </c>
      <c r="I128" s="16" t="s">
        <v>84</v>
      </c>
      <c r="J128" s="17"/>
      <c r="K128" s="40" t="str">
        <f>"110,0"</f>
        <v>110,0</v>
      </c>
      <c r="L128" s="17" t="str">
        <f>"78,8260"</f>
        <v>78,8260</v>
      </c>
      <c r="M128" s="14" t="s">
        <v>158</v>
      </c>
    </row>
    <row r="129" spans="1:13">
      <c r="A129" s="17" t="s">
        <v>92</v>
      </c>
      <c r="B129" s="14" t="s">
        <v>2532</v>
      </c>
      <c r="C129" s="14" t="s">
        <v>2533</v>
      </c>
      <c r="D129" s="14" t="s">
        <v>434</v>
      </c>
      <c r="E129" s="14" t="str">
        <f>"0,7152"</f>
        <v>0,7152</v>
      </c>
      <c r="F129" s="14" t="s">
        <v>266</v>
      </c>
      <c r="G129" s="16" t="s">
        <v>209</v>
      </c>
      <c r="H129" s="16" t="s">
        <v>209</v>
      </c>
      <c r="I129" s="16" t="s">
        <v>209</v>
      </c>
      <c r="J129" s="17"/>
      <c r="K129" s="40">
        <v>0</v>
      </c>
      <c r="L129" s="17" t="str">
        <f>"0,0000"</f>
        <v>0,0000</v>
      </c>
      <c r="M129" s="14" t="s">
        <v>158</v>
      </c>
    </row>
    <row r="130" spans="1:13">
      <c r="A130" s="17" t="s">
        <v>92</v>
      </c>
      <c r="B130" s="14" t="s">
        <v>2534</v>
      </c>
      <c r="C130" s="14" t="s">
        <v>2535</v>
      </c>
      <c r="D130" s="14" t="s">
        <v>1003</v>
      </c>
      <c r="E130" s="14" t="str">
        <f>"0,7146"</f>
        <v>0,7146</v>
      </c>
      <c r="F130" s="14" t="s">
        <v>91</v>
      </c>
      <c r="G130" s="16" t="s">
        <v>84</v>
      </c>
      <c r="H130" s="16" t="s">
        <v>84</v>
      </c>
      <c r="I130" s="16" t="s">
        <v>84</v>
      </c>
      <c r="J130" s="17"/>
      <c r="K130" s="40">
        <v>0</v>
      </c>
      <c r="L130" s="17" t="str">
        <f>"0,0000"</f>
        <v>0,0000</v>
      </c>
      <c r="M130" s="14" t="s">
        <v>158</v>
      </c>
    </row>
    <row r="131" spans="1:13">
      <c r="A131" s="17" t="s">
        <v>15</v>
      </c>
      <c r="B131" s="14" t="s">
        <v>2514</v>
      </c>
      <c r="C131" s="14" t="s">
        <v>2536</v>
      </c>
      <c r="D131" s="14" t="s">
        <v>451</v>
      </c>
      <c r="E131" s="14" t="str">
        <f>"0,7242"</f>
        <v>0,7242</v>
      </c>
      <c r="F131" s="14" t="s">
        <v>91</v>
      </c>
      <c r="G131" s="15" t="s">
        <v>71</v>
      </c>
      <c r="H131" s="15" t="s">
        <v>209</v>
      </c>
      <c r="I131" s="16" t="s">
        <v>58</v>
      </c>
      <c r="J131" s="17"/>
      <c r="K131" s="40" t="str">
        <f>"135,0"</f>
        <v>135,0</v>
      </c>
      <c r="L131" s="17" t="str">
        <f>"108,9124"</f>
        <v>108,9124</v>
      </c>
      <c r="M131" s="14" t="s">
        <v>158</v>
      </c>
    </row>
    <row r="132" spans="1:13">
      <c r="A132" s="17" t="s">
        <v>62</v>
      </c>
      <c r="B132" s="14" t="s">
        <v>2537</v>
      </c>
      <c r="C132" s="14" t="s">
        <v>2538</v>
      </c>
      <c r="D132" s="14" t="s">
        <v>327</v>
      </c>
      <c r="E132" s="14" t="str">
        <f>"0,7300"</f>
        <v>0,7300</v>
      </c>
      <c r="F132" s="14" t="s">
        <v>2539</v>
      </c>
      <c r="G132" s="15" t="s">
        <v>145</v>
      </c>
      <c r="H132" s="16" t="s">
        <v>71</v>
      </c>
      <c r="I132" s="15" t="s">
        <v>157</v>
      </c>
      <c r="J132" s="17"/>
      <c r="K132" s="40" t="str">
        <f>"132,5"</f>
        <v>132,5</v>
      </c>
      <c r="L132" s="17" t="str">
        <f>"102,5285"</f>
        <v>102,5285</v>
      </c>
      <c r="M132" s="14" t="s">
        <v>2540</v>
      </c>
    </row>
    <row r="133" spans="1:13">
      <c r="A133" s="17" t="s">
        <v>73</v>
      </c>
      <c r="B133" s="14" t="s">
        <v>2541</v>
      </c>
      <c r="C133" s="14" t="s">
        <v>2542</v>
      </c>
      <c r="D133" s="14" t="s">
        <v>434</v>
      </c>
      <c r="E133" s="14" t="str">
        <f>"0,7152"</f>
        <v>0,7152</v>
      </c>
      <c r="F133" s="14" t="s">
        <v>2543</v>
      </c>
      <c r="G133" s="15" t="s">
        <v>70</v>
      </c>
      <c r="H133" s="16" t="s">
        <v>71</v>
      </c>
      <c r="I133" s="16" t="s">
        <v>71</v>
      </c>
      <c r="J133" s="17"/>
      <c r="K133" s="40" t="str">
        <f>"120,0"</f>
        <v>120,0</v>
      </c>
      <c r="L133" s="17" t="str">
        <f>"89,6003"</f>
        <v>89,6003</v>
      </c>
      <c r="M133" s="14" t="s">
        <v>2544</v>
      </c>
    </row>
    <row r="134" spans="1:13">
      <c r="A134" s="17" t="s">
        <v>15</v>
      </c>
      <c r="B134" s="14" t="s">
        <v>2545</v>
      </c>
      <c r="C134" s="14" t="s">
        <v>2546</v>
      </c>
      <c r="D134" s="14" t="s">
        <v>1661</v>
      </c>
      <c r="E134" s="14" t="str">
        <f>"0,7228"</f>
        <v>0,7228</v>
      </c>
      <c r="F134" s="14" t="s">
        <v>1279</v>
      </c>
      <c r="G134" s="15" t="s">
        <v>56</v>
      </c>
      <c r="H134" s="16" t="s">
        <v>84</v>
      </c>
      <c r="I134" s="16" t="s">
        <v>84</v>
      </c>
      <c r="J134" s="17"/>
      <c r="K134" s="40" t="str">
        <f>"115,0"</f>
        <v>115,0</v>
      </c>
      <c r="L134" s="17" t="str">
        <f>"100,3283"</f>
        <v>100,3283</v>
      </c>
      <c r="M134" s="14" t="s">
        <v>158</v>
      </c>
    </row>
    <row r="135" spans="1:13">
      <c r="A135" s="17" t="s">
        <v>15</v>
      </c>
      <c r="B135" s="14" t="s">
        <v>2547</v>
      </c>
      <c r="C135" s="14" t="s">
        <v>2548</v>
      </c>
      <c r="D135" s="14" t="s">
        <v>390</v>
      </c>
      <c r="E135" s="14" t="str">
        <f>"0,7200"</f>
        <v>0,7200</v>
      </c>
      <c r="F135" s="14" t="s">
        <v>2549</v>
      </c>
      <c r="G135" s="15" t="s">
        <v>37</v>
      </c>
      <c r="H135" s="16" t="s">
        <v>46</v>
      </c>
      <c r="I135" s="15" t="s">
        <v>46</v>
      </c>
      <c r="J135" s="17"/>
      <c r="K135" s="40" t="str">
        <f>"102,5"</f>
        <v>102,5</v>
      </c>
      <c r="L135" s="17" t="str">
        <f>"113,1354"</f>
        <v>113,1354</v>
      </c>
      <c r="M135" s="14" t="s">
        <v>2550</v>
      </c>
    </row>
    <row r="136" spans="1:13">
      <c r="A136" s="20" t="s">
        <v>15</v>
      </c>
      <c r="B136" s="18" t="s">
        <v>2551</v>
      </c>
      <c r="C136" s="18" t="s">
        <v>2552</v>
      </c>
      <c r="D136" s="18" t="s">
        <v>1022</v>
      </c>
      <c r="E136" s="18" t="str">
        <f>"0,7221"</f>
        <v>0,7221</v>
      </c>
      <c r="F136" s="18" t="s">
        <v>2506</v>
      </c>
      <c r="G136" s="22" t="s">
        <v>56</v>
      </c>
      <c r="H136" s="19" t="s">
        <v>84</v>
      </c>
      <c r="I136" s="19" t="s">
        <v>70</v>
      </c>
      <c r="J136" s="22" t="s">
        <v>162</v>
      </c>
      <c r="K136" s="38" t="str">
        <f>"120,0"</f>
        <v>120,0</v>
      </c>
      <c r="L136" s="20" t="str">
        <f>"154,2406"</f>
        <v>154,2406</v>
      </c>
      <c r="M136" s="18" t="s">
        <v>158</v>
      </c>
    </row>
    <row r="137" spans="1:13">
      <c r="B137" s="5" t="s">
        <v>40</v>
      </c>
    </row>
    <row r="138" spans="1:13" ht="15.95">
      <c r="A138" s="102" t="s">
        <v>334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1:13">
      <c r="A139" s="13" t="s">
        <v>15</v>
      </c>
      <c r="B139" s="11" t="s">
        <v>2553</v>
      </c>
      <c r="C139" s="11" t="s">
        <v>2554</v>
      </c>
      <c r="D139" s="11" t="s">
        <v>567</v>
      </c>
      <c r="E139" s="11" t="str">
        <f>"0,6699"</f>
        <v>0,6699</v>
      </c>
      <c r="F139" s="11" t="s">
        <v>2555</v>
      </c>
      <c r="G139" s="12" t="s">
        <v>204</v>
      </c>
      <c r="H139" s="21" t="s">
        <v>342</v>
      </c>
      <c r="I139" s="12" t="s">
        <v>205</v>
      </c>
      <c r="J139" s="13"/>
      <c r="K139" s="37" t="str">
        <f>"155,0"</f>
        <v>155,0</v>
      </c>
      <c r="L139" s="13" t="str">
        <f>"103,8345"</f>
        <v>103,8345</v>
      </c>
      <c r="M139" s="11" t="s">
        <v>2556</v>
      </c>
    </row>
    <row r="140" spans="1:13">
      <c r="A140" s="17" t="s">
        <v>62</v>
      </c>
      <c r="B140" s="14" t="s">
        <v>2557</v>
      </c>
      <c r="C140" s="14" t="s">
        <v>2558</v>
      </c>
      <c r="D140" s="14" t="s">
        <v>580</v>
      </c>
      <c r="E140" s="14" t="str">
        <f>"0,7011"</f>
        <v>0,7011</v>
      </c>
      <c r="F140" s="14" t="s">
        <v>91</v>
      </c>
      <c r="G140" s="16" t="s">
        <v>56</v>
      </c>
      <c r="H140" s="15" t="s">
        <v>56</v>
      </c>
      <c r="I140" s="16" t="s">
        <v>85</v>
      </c>
      <c r="J140" s="17"/>
      <c r="K140" s="40" t="str">
        <f>"115,0"</f>
        <v>115,0</v>
      </c>
      <c r="L140" s="17" t="str">
        <f>"80,6265"</f>
        <v>80,6265</v>
      </c>
      <c r="M140" s="14" t="s">
        <v>2559</v>
      </c>
    </row>
    <row r="141" spans="1:13">
      <c r="A141" s="17" t="s">
        <v>15</v>
      </c>
      <c r="B141" s="14" t="s">
        <v>483</v>
      </c>
      <c r="C141" s="14" t="s">
        <v>484</v>
      </c>
      <c r="D141" s="14" t="s">
        <v>485</v>
      </c>
      <c r="E141" s="14" t="str">
        <f>"0,6795"</f>
        <v>0,6795</v>
      </c>
      <c r="F141" s="14" t="s">
        <v>109</v>
      </c>
      <c r="G141" s="15" t="s">
        <v>145</v>
      </c>
      <c r="H141" s="15" t="s">
        <v>209</v>
      </c>
      <c r="I141" s="16" t="s">
        <v>59</v>
      </c>
      <c r="J141" s="17"/>
      <c r="K141" s="40" t="str">
        <f>"135,0"</f>
        <v>135,0</v>
      </c>
      <c r="L141" s="17" t="str">
        <f>"91,7325"</f>
        <v>91,7325</v>
      </c>
      <c r="M141" s="14" t="s">
        <v>111</v>
      </c>
    </row>
    <row r="142" spans="1:13">
      <c r="A142" s="17" t="s">
        <v>62</v>
      </c>
      <c r="B142" s="14" t="s">
        <v>2560</v>
      </c>
      <c r="C142" s="14" t="s">
        <v>2561</v>
      </c>
      <c r="D142" s="14" t="s">
        <v>583</v>
      </c>
      <c r="E142" s="14" t="str">
        <f>"0,7061"</f>
        <v>0,7061</v>
      </c>
      <c r="F142" s="14" t="s">
        <v>2328</v>
      </c>
      <c r="G142" s="15" t="s">
        <v>70</v>
      </c>
      <c r="H142" s="15" t="s">
        <v>85</v>
      </c>
      <c r="I142" s="17"/>
      <c r="J142" s="17"/>
      <c r="K142" s="40" t="str">
        <f>"127,5"</f>
        <v>127,5</v>
      </c>
      <c r="L142" s="17" t="str">
        <f>"90,0277"</f>
        <v>90,0277</v>
      </c>
      <c r="M142" s="14" t="s">
        <v>2386</v>
      </c>
    </row>
    <row r="143" spans="1:13">
      <c r="A143" s="17" t="s">
        <v>73</v>
      </c>
      <c r="B143" s="14" t="s">
        <v>2562</v>
      </c>
      <c r="C143" s="14" t="s">
        <v>2563</v>
      </c>
      <c r="D143" s="14" t="s">
        <v>575</v>
      </c>
      <c r="E143" s="14" t="str">
        <f>"0,6704"</f>
        <v>0,6704</v>
      </c>
      <c r="F143" s="14" t="s">
        <v>91</v>
      </c>
      <c r="G143" s="16" t="s">
        <v>55</v>
      </c>
      <c r="H143" s="16" t="s">
        <v>55</v>
      </c>
      <c r="I143" s="15" t="s">
        <v>55</v>
      </c>
      <c r="J143" s="17"/>
      <c r="K143" s="40" t="str">
        <f>"112,5"</f>
        <v>112,5</v>
      </c>
      <c r="L143" s="17" t="str">
        <f>"75,4200"</f>
        <v>75,4200</v>
      </c>
      <c r="M143" s="14" t="s">
        <v>2564</v>
      </c>
    </row>
    <row r="144" spans="1:13">
      <c r="A144" s="17" t="s">
        <v>15</v>
      </c>
      <c r="B144" s="14" t="s">
        <v>2565</v>
      </c>
      <c r="C144" s="14" t="s">
        <v>2566</v>
      </c>
      <c r="D144" s="14" t="s">
        <v>337</v>
      </c>
      <c r="E144" s="14" t="str">
        <f>"0,6860"</f>
        <v>0,6860</v>
      </c>
      <c r="F144" s="14" t="s">
        <v>633</v>
      </c>
      <c r="G144" s="16" t="s">
        <v>59</v>
      </c>
      <c r="H144" s="16" t="s">
        <v>204</v>
      </c>
      <c r="I144" s="15" t="s">
        <v>204</v>
      </c>
      <c r="J144" s="17"/>
      <c r="K144" s="40" t="str">
        <f>"147,5"</f>
        <v>147,5</v>
      </c>
      <c r="L144" s="17" t="str">
        <f>"101,1850"</f>
        <v>101,1850</v>
      </c>
      <c r="M144" s="14" t="s">
        <v>158</v>
      </c>
    </row>
    <row r="145" spans="1:13">
      <c r="A145" s="17" t="s">
        <v>62</v>
      </c>
      <c r="B145" s="14" t="s">
        <v>2567</v>
      </c>
      <c r="C145" s="14" t="s">
        <v>2568</v>
      </c>
      <c r="D145" s="14" t="s">
        <v>521</v>
      </c>
      <c r="E145" s="14" t="str">
        <f>"0,6754"</f>
        <v>0,6754</v>
      </c>
      <c r="F145" s="14" t="s">
        <v>91</v>
      </c>
      <c r="G145" s="16" t="s">
        <v>59</v>
      </c>
      <c r="H145" s="15" t="s">
        <v>204</v>
      </c>
      <c r="I145" s="16" t="s">
        <v>342</v>
      </c>
      <c r="J145" s="17"/>
      <c r="K145" s="40" t="str">
        <f>"147,5"</f>
        <v>147,5</v>
      </c>
      <c r="L145" s="17" t="str">
        <f>"99,6215"</f>
        <v>99,6215</v>
      </c>
      <c r="M145" s="14" t="s">
        <v>2569</v>
      </c>
    </row>
    <row r="146" spans="1:13">
      <c r="A146" s="17" t="s">
        <v>73</v>
      </c>
      <c r="B146" s="14" t="s">
        <v>2570</v>
      </c>
      <c r="C146" s="14" t="s">
        <v>2571</v>
      </c>
      <c r="D146" s="14" t="s">
        <v>1051</v>
      </c>
      <c r="E146" s="14" t="str">
        <f>"0,6806"</f>
        <v>0,6806</v>
      </c>
      <c r="F146" s="14" t="s">
        <v>1214</v>
      </c>
      <c r="G146" s="16" t="s">
        <v>58</v>
      </c>
      <c r="H146" s="15" t="s">
        <v>59</v>
      </c>
      <c r="I146" s="16" t="s">
        <v>60</v>
      </c>
      <c r="J146" s="17"/>
      <c r="K146" s="40" t="str">
        <f>"145,0"</f>
        <v>145,0</v>
      </c>
      <c r="L146" s="17" t="str">
        <f>"98,6870"</f>
        <v>98,6870</v>
      </c>
      <c r="M146" s="14" t="s">
        <v>158</v>
      </c>
    </row>
    <row r="147" spans="1:13">
      <c r="A147" s="17" t="s">
        <v>75</v>
      </c>
      <c r="B147" s="14" t="s">
        <v>2572</v>
      </c>
      <c r="C147" s="14" t="s">
        <v>2573</v>
      </c>
      <c r="D147" s="14" t="s">
        <v>2114</v>
      </c>
      <c r="E147" s="14" t="str">
        <f>"0,6945"</f>
        <v>0,6945</v>
      </c>
      <c r="F147" s="14" t="s">
        <v>2574</v>
      </c>
      <c r="G147" s="15" t="s">
        <v>70</v>
      </c>
      <c r="H147" s="16" t="s">
        <v>85</v>
      </c>
      <c r="I147" s="16" t="s">
        <v>85</v>
      </c>
      <c r="J147" s="17"/>
      <c r="K147" s="40" t="str">
        <f>"120,0"</f>
        <v>120,0</v>
      </c>
      <c r="L147" s="17" t="str">
        <f>"83,3400"</f>
        <v>83,3400</v>
      </c>
      <c r="M147" s="14" t="s">
        <v>2575</v>
      </c>
    </row>
    <row r="148" spans="1:13">
      <c r="A148" s="17" t="s">
        <v>15</v>
      </c>
      <c r="B148" s="14" t="s">
        <v>2576</v>
      </c>
      <c r="C148" s="14" t="s">
        <v>2577</v>
      </c>
      <c r="D148" s="14" t="s">
        <v>546</v>
      </c>
      <c r="E148" s="14" t="str">
        <f>"0,6816"</f>
        <v>0,6816</v>
      </c>
      <c r="F148" s="14" t="s">
        <v>1105</v>
      </c>
      <c r="G148" s="15" t="s">
        <v>152</v>
      </c>
      <c r="H148" s="15" t="s">
        <v>550</v>
      </c>
      <c r="I148" s="16" t="s">
        <v>351</v>
      </c>
      <c r="J148" s="17"/>
      <c r="K148" s="40" t="str">
        <f>"172,5"</f>
        <v>172,5</v>
      </c>
      <c r="L148" s="17" t="str">
        <f>"117,5760"</f>
        <v>117,5760</v>
      </c>
      <c r="M148" s="14" t="s">
        <v>158</v>
      </c>
    </row>
    <row r="149" spans="1:13">
      <c r="A149" s="17" t="s">
        <v>62</v>
      </c>
      <c r="B149" s="14" t="s">
        <v>2578</v>
      </c>
      <c r="C149" s="14" t="s">
        <v>2579</v>
      </c>
      <c r="D149" s="14" t="s">
        <v>485</v>
      </c>
      <c r="E149" s="14" t="str">
        <f>"0,6795"</f>
        <v>0,6795</v>
      </c>
      <c r="F149" s="14" t="s">
        <v>1590</v>
      </c>
      <c r="G149" s="15" t="s">
        <v>151</v>
      </c>
      <c r="H149" s="15" t="s">
        <v>152</v>
      </c>
      <c r="I149" s="15" t="s">
        <v>248</v>
      </c>
      <c r="J149" s="17"/>
      <c r="K149" s="40" t="str">
        <f>"170,0"</f>
        <v>170,0</v>
      </c>
      <c r="L149" s="17" t="str">
        <f>"115,5150"</f>
        <v>115,5150</v>
      </c>
      <c r="M149" s="14" t="s">
        <v>2580</v>
      </c>
    </row>
    <row r="150" spans="1:13">
      <c r="A150" s="17" t="s">
        <v>73</v>
      </c>
      <c r="B150" s="14" t="s">
        <v>2581</v>
      </c>
      <c r="C150" s="14" t="s">
        <v>2582</v>
      </c>
      <c r="D150" s="14" t="s">
        <v>502</v>
      </c>
      <c r="E150" s="14" t="str">
        <f>"0,6764"</f>
        <v>0,6764</v>
      </c>
      <c r="F150" s="14" t="s">
        <v>91</v>
      </c>
      <c r="G150" s="15" t="s">
        <v>151</v>
      </c>
      <c r="H150" s="15" t="s">
        <v>347</v>
      </c>
      <c r="I150" s="16" t="s">
        <v>351</v>
      </c>
      <c r="J150" s="17"/>
      <c r="K150" s="40" t="str">
        <f>"167,5"</f>
        <v>167,5</v>
      </c>
      <c r="L150" s="17" t="str">
        <f>"113,2970"</f>
        <v>113,2970</v>
      </c>
      <c r="M150" s="14" t="s">
        <v>158</v>
      </c>
    </row>
    <row r="151" spans="1:13">
      <c r="A151" s="17" t="s">
        <v>75</v>
      </c>
      <c r="B151" s="14" t="s">
        <v>2583</v>
      </c>
      <c r="C151" s="14" t="s">
        <v>2584</v>
      </c>
      <c r="D151" s="14" t="s">
        <v>1458</v>
      </c>
      <c r="E151" s="14" t="str">
        <f>"0,6709"</f>
        <v>0,6709</v>
      </c>
      <c r="F151" s="14" t="s">
        <v>1204</v>
      </c>
      <c r="G151" s="15" t="s">
        <v>151</v>
      </c>
      <c r="H151" s="16" t="s">
        <v>347</v>
      </c>
      <c r="I151" s="16" t="s">
        <v>347</v>
      </c>
      <c r="J151" s="17"/>
      <c r="K151" s="40" t="str">
        <f>"160,0"</f>
        <v>160,0</v>
      </c>
      <c r="L151" s="17" t="str">
        <f>"107,3440"</f>
        <v>107,3440</v>
      </c>
      <c r="M151" s="14" t="s">
        <v>2585</v>
      </c>
    </row>
    <row r="152" spans="1:13">
      <c r="A152" s="17" t="s">
        <v>87</v>
      </c>
      <c r="B152" s="14" t="s">
        <v>2586</v>
      </c>
      <c r="C152" s="14" t="s">
        <v>2587</v>
      </c>
      <c r="D152" s="14" t="s">
        <v>1447</v>
      </c>
      <c r="E152" s="14" t="str">
        <f>"0,6854"</f>
        <v>0,6854</v>
      </c>
      <c r="F152" s="14" t="s">
        <v>1296</v>
      </c>
      <c r="G152" s="15" t="s">
        <v>60</v>
      </c>
      <c r="H152" s="15" t="s">
        <v>205</v>
      </c>
      <c r="I152" s="15" t="s">
        <v>254</v>
      </c>
      <c r="J152" s="17"/>
      <c r="K152" s="40" t="str">
        <f>"157,5"</f>
        <v>157,5</v>
      </c>
      <c r="L152" s="17" t="str">
        <f>"107,9505"</f>
        <v>107,9505</v>
      </c>
      <c r="M152" s="14" t="s">
        <v>158</v>
      </c>
    </row>
    <row r="153" spans="1:13">
      <c r="A153" s="17" t="s">
        <v>168</v>
      </c>
      <c r="B153" s="14" t="s">
        <v>531</v>
      </c>
      <c r="C153" s="14" t="s">
        <v>532</v>
      </c>
      <c r="D153" s="14" t="s">
        <v>521</v>
      </c>
      <c r="E153" s="14" t="str">
        <f>"0,6754"</f>
        <v>0,6754</v>
      </c>
      <c r="F153" s="14" t="s">
        <v>533</v>
      </c>
      <c r="G153" s="15" t="s">
        <v>58</v>
      </c>
      <c r="H153" s="15" t="s">
        <v>60</v>
      </c>
      <c r="I153" s="15" t="s">
        <v>205</v>
      </c>
      <c r="J153" s="17"/>
      <c r="K153" s="40" t="str">
        <f>"155,0"</f>
        <v>155,0</v>
      </c>
      <c r="L153" s="17" t="str">
        <f>"104,6870"</f>
        <v>104,6870</v>
      </c>
      <c r="M153" s="14" t="s">
        <v>158</v>
      </c>
    </row>
    <row r="154" spans="1:13">
      <c r="A154" s="17" t="s">
        <v>172</v>
      </c>
      <c r="B154" s="14" t="s">
        <v>2588</v>
      </c>
      <c r="C154" s="14" t="s">
        <v>2589</v>
      </c>
      <c r="D154" s="14" t="s">
        <v>590</v>
      </c>
      <c r="E154" s="14" t="str">
        <f>"0,6724"</f>
        <v>0,6724</v>
      </c>
      <c r="F154" s="14" t="s">
        <v>91</v>
      </c>
      <c r="G154" s="16" t="s">
        <v>60</v>
      </c>
      <c r="H154" s="15" t="s">
        <v>60</v>
      </c>
      <c r="I154" s="16" t="s">
        <v>205</v>
      </c>
      <c r="J154" s="17"/>
      <c r="K154" s="40" t="str">
        <f>"150,0"</f>
        <v>150,0</v>
      </c>
      <c r="L154" s="17" t="str">
        <f>"100,8600"</f>
        <v>100,8600</v>
      </c>
      <c r="M154" s="14" t="s">
        <v>158</v>
      </c>
    </row>
    <row r="155" spans="1:13">
      <c r="A155" s="17" t="s">
        <v>178</v>
      </c>
      <c r="B155" s="14" t="s">
        <v>534</v>
      </c>
      <c r="C155" s="14" t="s">
        <v>2590</v>
      </c>
      <c r="D155" s="14" t="s">
        <v>536</v>
      </c>
      <c r="E155" s="14" t="str">
        <f>"0,6719"</f>
        <v>0,6719</v>
      </c>
      <c r="F155" s="14" t="s">
        <v>91</v>
      </c>
      <c r="G155" s="16" t="s">
        <v>59</v>
      </c>
      <c r="H155" s="15" t="s">
        <v>59</v>
      </c>
      <c r="I155" s="15" t="s">
        <v>60</v>
      </c>
      <c r="J155" s="17"/>
      <c r="K155" s="40" t="str">
        <f>"150,0"</f>
        <v>150,0</v>
      </c>
      <c r="L155" s="17" t="str">
        <f>"100,7850"</f>
        <v>100,7850</v>
      </c>
      <c r="M155" s="14" t="s">
        <v>158</v>
      </c>
    </row>
    <row r="156" spans="1:13">
      <c r="A156" s="17" t="s">
        <v>183</v>
      </c>
      <c r="B156" s="14" t="s">
        <v>2591</v>
      </c>
      <c r="C156" s="14" t="s">
        <v>2592</v>
      </c>
      <c r="D156" s="14" t="s">
        <v>580</v>
      </c>
      <c r="E156" s="14" t="str">
        <f>"0,7011"</f>
        <v>0,7011</v>
      </c>
      <c r="F156" s="14" t="s">
        <v>2593</v>
      </c>
      <c r="G156" s="15" t="s">
        <v>59</v>
      </c>
      <c r="H156" s="15" t="s">
        <v>204</v>
      </c>
      <c r="I156" s="16" t="s">
        <v>60</v>
      </c>
      <c r="J156" s="17"/>
      <c r="K156" s="40" t="str">
        <f>"147,5"</f>
        <v>147,5</v>
      </c>
      <c r="L156" s="17" t="str">
        <f>"103,4122"</f>
        <v>103,4122</v>
      </c>
      <c r="M156" s="14" t="s">
        <v>2340</v>
      </c>
    </row>
    <row r="157" spans="1:13">
      <c r="A157" s="17" t="s">
        <v>186</v>
      </c>
      <c r="B157" s="14" t="s">
        <v>2594</v>
      </c>
      <c r="C157" s="14" t="s">
        <v>2595</v>
      </c>
      <c r="D157" s="14" t="s">
        <v>512</v>
      </c>
      <c r="E157" s="14" t="str">
        <f>"0,6790"</f>
        <v>0,6790</v>
      </c>
      <c r="F157" s="14" t="s">
        <v>91</v>
      </c>
      <c r="G157" s="15" t="s">
        <v>58</v>
      </c>
      <c r="H157" s="15" t="s">
        <v>59</v>
      </c>
      <c r="I157" s="15" t="s">
        <v>204</v>
      </c>
      <c r="J157" s="17"/>
      <c r="K157" s="40" t="str">
        <f>"147,5"</f>
        <v>147,5</v>
      </c>
      <c r="L157" s="17" t="str">
        <f>"100,1525"</f>
        <v>100,1525</v>
      </c>
      <c r="M157" s="14" t="s">
        <v>158</v>
      </c>
    </row>
    <row r="158" spans="1:13">
      <c r="A158" s="17" t="s">
        <v>556</v>
      </c>
      <c r="B158" s="14" t="s">
        <v>2596</v>
      </c>
      <c r="C158" s="14" t="s">
        <v>951</v>
      </c>
      <c r="D158" s="14" t="s">
        <v>527</v>
      </c>
      <c r="E158" s="14" t="str">
        <f>"0,6811"</f>
        <v>0,6811</v>
      </c>
      <c r="F158" s="14" t="s">
        <v>2339</v>
      </c>
      <c r="G158" s="15" t="s">
        <v>59</v>
      </c>
      <c r="H158" s="16" t="s">
        <v>60</v>
      </c>
      <c r="I158" s="16" t="s">
        <v>60</v>
      </c>
      <c r="J158" s="17"/>
      <c r="K158" s="40" t="str">
        <f>"145,0"</f>
        <v>145,0</v>
      </c>
      <c r="L158" s="17" t="str">
        <f>"98,7595"</f>
        <v>98,7595</v>
      </c>
      <c r="M158" s="14" t="s">
        <v>158</v>
      </c>
    </row>
    <row r="159" spans="1:13">
      <c r="A159" s="17" t="s">
        <v>559</v>
      </c>
      <c r="B159" s="14" t="s">
        <v>2597</v>
      </c>
      <c r="C159" s="14" t="s">
        <v>2598</v>
      </c>
      <c r="D159" s="14" t="s">
        <v>2599</v>
      </c>
      <c r="E159" s="14" t="str">
        <f>"0,6759"</f>
        <v>0,6759</v>
      </c>
      <c r="F159" s="14" t="s">
        <v>2600</v>
      </c>
      <c r="G159" s="15" t="s">
        <v>147</v>
      </c>
      <c r="H159" s="16" t="s">
        <v>59</v>
      </c>
      <c r="I159" s="15" t="s">
        <v>59</v>
      </c>
      <c r="J159" s="17"/>
      <c r="K159" s="40" t="str">
        <f>"145,0"</f>
        <v>145,0</v>
      </c>
      <c r="L159" s="17" t="str">
        <f>"98,0055"</f>
        <v>98,0055</v>
      </c>
      <c r="M159" s="14" t="s">
        <v>158</v>
      </c>
    </row>
    <row r="160" spans="1:13">
      <c r="A160" s="17" t="s">
        <v>564</v>
      </c>
      <c r="B160" s="14" t="s">
        <v>552</v>
      </c>
      <c r="C160" s="14" t="s">
        <v>553</v>
      </c>
      <c r="D160" s="14" t="s">
        <v>554</v>
      </c>
      <c r="E160" s="14" t="str">
        <f>"0,6739"</f>
        <v>0,6739</v>
      </c>
      <c r="F160" s="14" t="s">
        <v>91</v>
      </c>
      <c r="G160" s="15" t="s">
        <v>58</v>
      </c>
      <c r="H160" s="16" t="s">
        <v>59</v>
      </c>
      <c r="I160" s="16" t="s">
        <v>59</v>
      </c>
      <c r="J160" s="17"/>
      <c r="K160" s="40" t="str">
        <f>"140,0"</f>
        <v>140,0</v>
      </c>
      <c r="L160" s="17" t="str">
        <f>"94,3460"</f>
        <v>94,3460</v>
      </c>
      <c r="M160" s="14" t="s">
        <v>555</v>
      </c>
    </row>
    <row r="161" spans="1:13">
      <c r="A161" s="17" t="s">
        <v>569</v>
      </c>
      <c r="B161" s="14" t="s">
        <v>2601</v>
      </c>
      <c r="C161" s="14" t="s">
        <v>2602</v>
      </c>
      <c r="D161" s="14" t="s">
        <v>2603</v>
      </c>
      <c r="E161" s="14" t="str">
        <f>"0,6888"</f>
        <v>0,6888</v>
      </c>
      <c r="F161" s="14" t="s">
        <v>119</v>
      </c>
      <c r="G161" s="15" t="s">
        <v>209</v>
      </c>
      <c r="H161" s="16" t="s">
        <v>59</v>
      </c>
      <c r="I161" s="16" t="s">
        <v>59</v>
      </c>
      <c r="J161" s="17"/>
      <c r="K161" s="40" t="str">
        <f>"135,0"</f>
        <v>135,0</v>
      </c>
      <c r="L161" s="17" t="str">
        <f>"92,9880"</f>
        <v>92,9880</v>
      </c>
      <c r="M161" s="14" t="s">
        <v>1171</v>
      </c>
    </row>
    <row r="162" spans="1:13">
      <c r="A162" s="17" t="s">
        <v>572</v>
      </c>
      <c r="B162" s="14" t="s">
        <v>2604</v>
      </c>
      <c r="C162" s="14" t="s">
        <v>2605</v>
      </c>
      <c r="D162" s="14" t="s">
        <v>590</v>
      </c>
      <c r="E162" s="14" t="str">
        <f>"0,6724"</f>
        <v>0,6724</v>
      </c>
      <c r="F162" s="14" t="s">
        <v>1817</v>
      </c>
      <c r="G162" s="16" t="s">
        <v>209</v>
      </c>
      <c r="H162" s="15" t="s">
        <v>209</v>
      </c>
      <c r="I162" s="16" t="s">
        <v>59</v>
      </c>
      <c r="J162" s="17"/>
      <c r="K162" s="40" t="str">
        <f>"135,0"</f>
        <v>135,0</v>
      </c>
      <c r="L162" s="17" t="str">
        <f>"90,7740"</f>
        <v>90,7740</v>
      </c>
      <c r="M162" s="14" t="s">
        <v>2606</v>
      </c>
    </row>
    <row r="163" spans="1:13">
      <c r="A163" s="17" t="s">
        <v>577</v>
      </c>
      <c r="B163" s="14" t="s">
        <v>2607</v>
      </c>
      <c r="C163" s="14" t="s">
        <v>2608</v>
      </c>
      <c r="D163" s="14" t="s">
        <v>512</v>
      </c>
      <c r="E163" s="14" t="str">
        <f>"0,6790"</f>
        <v>0,6790</v>
      </c>
      <c r="F163" s="14" t="s">
        <v>1387</v>
      </c>
      <c r="G163" s="16" t="s">
        <v>85</v>
      </c>
      <c r="H163" s="15" t="s">
        <v>85</v>
      </c>
      <c r="I163" s="16" t="s">
        <v>157</v>
      </c>
      <c r="J163" s="17"/>
      <c r="K163" s="40" t="str">
        <f>"127,5"</f>
        <v>127,5</v>
      </c>
      <c r="L163" s="17" t="str">
        <f>"86,5725"</f>
        <v>86,5725</v>
      </c>
      <c r="M163" s="14" t="s">
        <v>158</v>
      </c>
    </row>
    <row r="164" spans="1:13">
      <c r="A164" s="17" t="s">
        <v>1810</v>
      </c>
      <c r="B164" s="14" t="s">
        <v>2609</v>
      </c>
      <c r="C164" s="14" t="s">
        <v>2610</v>
      </c>
      <c r="D164" s="14" t="s">
        <v>1469</v>
      </c>
      <c r="E164" s="14" t="str">
        <f>"0,6779"</f>
        <v>0,6779</v>
      </c>
      <c r="F164" s="14" t="s">
        <v>91</v>
      </c>
      <c r="G164" s="15" t="s">
        <v>70</v>
      </c>
      <c r="H164" s="15" t="s">
        <v>85</v>
      </c>
      <c r="I164" s="16" t="s">
        <v>157</v>
      </c>
      <c r="J164" s="17"/>
      <c r="K164" s="40" t="str">
        <f>"127,5"</f>
        <v>127,5</v>
      </c>
      <c r="L164" s="17" t="str">
        <f>"86,4323"</f>
        <v>86,4323</v>
      </c>
      <c r="M164" s="14" t="s">
        <v>158</v>
      </c>
    </row>
    <row r="165" spans="1:13">
      <c r="A165" s="17" t="s">
        <v>1813</v>
      </c>
      <c r="B165" s="14" t="s">
        <v>2611</v>
      </c>
      <c r="C165" s="14" t="s">
        <v>2612</v>
      </c>
      <c r="D165" s="14" t="s">
        <v>472</v>
      </c>
      <c r="E165" s="14" t="str">
        <f>"0,7055"</f>
        <v>0,7055</v>
      </c>
      <c r="F165" s="14" t="s">
        <v>91</v>
      </c>
      <c r="G165" s="15" t="s">
        <v>56</v>
      </c>
      <c r="H165" s="15" t="s">
        <v>162</v>
      </c>
      <c r="I165" s="16" t="s">
        <v>85</v>
      </c>
      <c r="J165" s="17"/>
      <c r="K165" s="40" t="str">
        <f>"122,5"</f>
        <v>122,5</v>
      </c>
      <c r="L165" s="17" t="str">
        <f>"86,4238"</f>
        <v>86,4238</v>
      </c>
      <c r="M165" s="14" t="s">
        <v>2613</v>
      </c>
    </row>
    <row r="166" spans="1:13">
      <c r="A166" s="17" t="s">
        <v>1818</v>
      </c>
      <c r="B166" s="14" t="s">
        <v>2614</v>
      </c>
      <c r="C166" s="14" t="s">
        <v>2615</v>
      </c>
      <c r="D166" s="14" t="s">
        <v>546</v>
      </c>
      <c r="E166" s="14" t="str">
        <f>"0,6816"</f>
        <v>0,6816</v>
      </c>
      <c r="F166" s="14" t="s">
        <v>2616</v>
      </c>
      <c r="G166" s="15" t="s">
        <v>69</v>
      </c>
      <c r="H166" s="15" t="s">
        <v>56</v>
      </c>
      <c r="I166" s="16" t="s">
        <v>70</v>
      </c>
      <c r="J166" s="17"/>
      <c r="K166" s="40" t="str">
        <f>"115,0"</f>
        <v>115,0</v>
      </c>
      <c r="L166" s="17" t="str">
        <f>"78,3840"</f>
        <v>78,3840</v>
      </c>
      <c r="M166" s="14" t="s">
        <v>2617</v>
      </c>
    </row>
    <row r="167" spans="1:13">
      <c r="A167" s="17" t="s">
        <v>2618</v>
      </c>
      <c r="B167" s="14" t="s">
        <v>2619</v>
      </c>
      <c r="C167" s="14" t="s">
        <v>2620</v>
      </c>
      <c r="D167" s="14" t="s">
        <v>2621</v>
      </c>
      <c r="E167" s="14" t="str">
        <f>"0,6922"</f>
        <v>0,6922</v>
      </c>
      <c r="F167" s="14" t="s">
        <v>758</v>
      </c>
      <c r="G167" s="16" t="s">
        <v>69</v>
      </c>
      <c r="H167" s="16" t="s">
        <v>69</v>
      </c>
      <c r="I167" s="15" t="s">
        <v>69</v>
      </c>
      <c r="J167" s="17"/>
      <c r="K167" s="40" t="str">
        <f>"110,0"</f>
        <v>110,0</v>
      </c>
      <c r="L167" s="17" t="str">
        <f>"76,1420"</f>
        <v>76,1420</v>
      </c>
      <c r="M167" s="14" t="s">
        <v>2316</v>
      </c>
    </row>
    <row r="168" spans="1:13">
      <c r="A168" s="17" t="s">
        <v>92</v>
      </c>
      <c r="B168" s="14" t="s">
        <v>2622</v>
      </c>
      <c r="C168" s="14" t="s">
        <v>2623</v>
      </c>
      <c r="D168" s="14" t="s">
        <v>527</v>
      </c>
      <c r="E168" s="14" t="str">
        <f>"0,6811"</f>
        <v>0,6811</v>
      </c>
      <c r="F168" s="14" t="s">
        <v>91</v>
      </c>
      <c r="G168" s="16" t="s">
        <v>58</v>
      </c>
      <c r="H168" s="16" t="s">
        <v>58</v>
      </c>
      <c r="I168" s="16" t="s">
        <v>59</v>
      </c>
      <c r="J168" s="17"/>
      <c r="K168" s="40">
        <v>0</v>
      </c>
      <c r="L168" s="17" t="str">
        <f>"0,0000"</f>
        <v>0,0000</v>
      </c>
      <c r="M168" s="14" t="s">
        <v>158</v>
      </c>
    </row>
    <row r="169" spans="1:13">
      <c r="A169" s="17" t="s">
        <v>15</v>
      </c>
      <c r="B169" s="14" t="s">
        <v>2576</v>
      </c>
      <c r="C169" s="14" t="s">
        <v>2624</v>
      </c>
      <c r="D169" s="14" t="s">
        <v>546</v>
      </c>
      <c r="E169" s="14" t="str">
        <f>"0,6816"</f>
        <v>0,6816</v>
      </c>
      <c r="F169" s="14" t="s">
        <v>1105</v>
      </c>
      <c r="G169" s="15" t="s">
        <v>152</v>
      </c>
      <c r="H169" s="15" t="s">
        <v>550</v>
      </c>
      <c r="I169" s="16" t="s">
        <v>351</v>
      </c>
      <c r="J169" s="17"/>
      <c r="K169" s="40" t="str">
        <f>"172,5"</f>
        <v>172,5</v>
      </c>
      <c r="L169" s="17" t="str">
        <f>"119,2221"</f>
        <v>119,2221</v>
      </c>
      <c r="M169" s="14" t="s">
        <v>158</v>
      </c>
    </row>
    <row r="170" spans="1:13">
      <c r="A170" s="17" t="s">
        <v>62</v>
      </c>
      <c r="B170" s="14" t="s">
        <v>2625</v>
      </c>
      <c r="C170" s="14" t="s">
        <v>2626</v>
      </c>
      <c r="D170" s="14" t="s">
        <v>521</v>
      </c>
      <c r="E170" s="14" t="str">
        <f>"0,6754"</f>
        <v>0,6754</v>
      </c>
      <c r="F170" s="14" t="s">
        <v>1238</v>
      </c>
      <c r="G170" s="16" t="s">
        <v>58</v>
      </c>
      <c r="H170" s="15" t="s">
        <v>58</v>
      </c>
      <c r="I170" s="16" t="s">
        <v>59</v>
      </c>
      <c r="J170" s="17"/>
      <c r="K170" s="40" t="str">
        <f>"140,0"</f>
        <v>140,0</v>
      </c>
      <c r="L170" s="17" t="str">
        <f>"98,7165"</f>
        <v>98,7165</v>
      </c>
      <c r="M170" s="14" t="s">
        <v>158</v>
      </c>
    </row>
    <row r="171" spans="1:13">
      <c r="A171" s="17" t="s">
        <v>73</v>
      </c>
      <c r="B171" s="14" t="s">
        <v>2627</v>
      </c>
      <c r="C171" s="14" t="s">
        <v>2628</v>
      </c>
      <c r="D171" s="14" t="s">
        <v>590</v>
      </c>
      <c r="E171" s="14" t="str">
        <f>"0,6724"</f>
        <v>0,6724</v>
      </c>
      <c r="F171" s="14" t="s">
        <v>594</v>
      </c>
      <c r="G171" s="15" t="s">
        <v>70</v>
      </c>
      <c r="H171" s="15" t="s">
        <v>145</v>
      </c>
      <c r="I171" s="15" t="s">
        <v>71</v>
      </c>
      <c r="J171" s="17"/>
      <c r="K171" s="40" t="str">
        <f>"130,0"</f>
        <v>130,0</v>
      </c>
      <c r="L171" s="17" t="str">
        <f>"88,6358"</f>
        <v>88,6358</v>
      </c>
      <c r="M171" s="14" t="s">
        <v>2629</v>
      </c>
    </row>
    <row r="172" spans="1:13">
      <c r="A172" s="17" t="s">
        <v>15</v>
      </c>
      <c r="B172" s="14" t="s">
        <v>2630</v>
      </c>
      <c r="C172" s="14" t="s">
        <v>2631</v>
      </c>
      <c r="D172" s="14" t="s">
        <v>1685</v>
      </c>
      <c r="E172" s="14" t="str">
        <f>"0,6734"</f>
        <v>0,6734</v>
      </c>
      <c r="F172" s="14" t="s">
        <v>262</v>
      </c>
      <c r="G172" s="16" t="s">
        <v>254</v>
      </c>
      <c r="H172" s="16" t="s">
        <v>254</v>
      </c>
      <c r="I172" s="15" t="s">
        <v>254</v>
      </c>
      <c r="J172" s="17"/>
      <c r="K172" s="40" t="str">
        <f>"157,5"</f>
        <v>157,5</v>
      </c>
      <c r="L172" s="17" t="str">
        <f>"123,8787"</f>
        <v>123,8787</v>
      </c>
      <c r="M172" s="14" t="s">
        <v>158</v>
      </c>
    </row>
    <row r="173" spans="1:13">
      <c r="A173" s="17" t="s">
        <v>62</v>
      </c>
      <c r="B173" s="14" t="s">
        <v>2632</v>
      </c>
      <c r="C173" s="14" t="s">
        <v>2633</v>
      </c>
      <c r="D173" s="14" t="s">
        <v>590</v>
      </c>
      <c r="E173" s="14" t="str">
        <f>"0,6724"</f>
        <v>0,6724</v>
      </c>
      <c r="F173" s="14" t="s">
        <v>2543</v>
      </c>
      <c r="G173" s="15" t="s">
        <v>58</v>
      </c>
      <c r="H173" s="15" t="s">
        <v>204</v>
      </c>
      <c r="I173" s="15" t="s">
        <v>342</v>
      </c>
      <c r="J173" s="17"/>
      <c r="K173" s="40" t="str">
        <f>"152,5"</f>
        <v>152,5</v>
      </c>
      <c r="L173" s="17" t="str">
        <f>"119,7679"</f>
        <v>119,7679</v>
      </c>
      <c r="M173" s="14" t="s">
        <v>158</v>
      </c>
    </row>
    <row r="174" spans="1:13">
      <c r="A174" s="17" t="s">
        <v>73</v>
      </c>
      <c r="B174" s="14" t="s">
        <v>2634</v>
      </c>
      <c r="C174" s="14" t="s">
        <v>2635</v>
      </c>
      <c r="D174" s="14" t="s">
        <v>2636</v>
      </c>
      <c r="E174" s="14" t="str">
        <f>"0,6882"</f>
        <v>0,6882</v>
      </c>
      <c r="F174" s="14" t="s">
        <v>2637</v>
      </c>
      <c r="G174" s="15" t="s">
        <v>70</v>
      </c>
      <c r="H174" s="15" t="s">
        <v>85</v>
      </c>
      <c r="I174" s="16" t="s">
        <v>209</v>
      </c>
      <c r="J174" s="17"/>
      <c r="K174" s="40" t="str">
        <f>"127,5"</f>
        <v>127,5</v>
      </c>
      <c r="L174" s="17" t="str">
        <f>"107,7515"</f>
        <v>107,7515</v>
      </c>
      <c r="M174" s="14" t="s">
        <v>2638</v>
      </c>
    </row>
    <row r="175" spans="1:13">
      <c r="A175" s="17" t="s">
        <v>15</v>
      </c>
      <c r="B175" s="14" t="s">
        <v>2639</v>
      </c>
      <c r="C175" s="14" t="s">
        <v>2640</v>
      </c>
      <c r="D175" s="14" t="s">
        <v>488</v>
      </c>
      <c r="E175" s="14" t="str">
        <f>"0,6832"</f>
        <v>0,6832</v>
      </c>
      <c r="F175" s="14" t="s">
        <v>528</v>
      </c>
      <c r="G175" s="16" t="s">
        <v>204</v>
      </c>
      <c r="H175" s="15" t="s">
        <v>204</v>
      </c>
      <c r="I175" s="15" t="s">
        <v>205</v>
      </c>
      <c r="J175" s="17"/>
      <c r="K175" s="40" t="str">
        <f>"155,0"</f>
        <v>155,0</v>
      </c>
      <c r="L175" s="17" t="str">
        <f>"146,1365"</f>
        <v>146,1365</v>
      </c>
      <c r="M175" s="14" t="s">
        <v>1242</v>
      </c>
    </row>
    <row r="176" spans="1:13">
      <c r="A176" s="20" t="s">
        <v>15</v>
      </c>
      <c r="B176" s="18" t="s">
        <v>2641</v>
      </c>
      <c r="C176" s="18" t="s">
        <v>2642</v>
      </c>
      <c r="D176" s="18" t="s">
        <v>567</v>
      </c>
      <c r="E176" s="18" t="str">
        <f>"0,6699"</f>
        <v>0,6699</v>
      </c>
      <c r="F176" s="18" t="s">
        <v>2643</v>
      </c>
      <c r="G176" s="19" t="s">
        <v>49</v>
      </c>
      <c r="H176" s="22" t="s">
        <v>69</v>
      </c>
      <c r="I176" s="22" t="s">
        <v>69</v>
      </c>
      <c r="J176" s="20"/>
      <c r="K176" s="38" t="str">
        <f>"105,0"</f>
        <v>105,0</v>
      </c>
      <c r="L176" s="20" t="str">
        <f>"130,8315"</f>
        <v>130,8315</v>
      </c>
      <c r="M176" s="18" t="s">
        <v>2644</v>
      </c>
    </row>
    <row r="177" spans="1:13">
      <c r="B177" s="5" t="s">
        <v>40</v>
      </c>
    </row>
    <row r="178" spans="1:13" ht="15.95">
      <c r="A178" s="102" t="s">
        <v>598</v>
      </c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</row>
    <row r="179" spans="1:13">
      <c r="A179" s="13" t="s">
        <v>15</v>
      </c>
      <c r="B179" s="11" t="s">
        <v>2645</v>
      </c>
      <c r="C179" s="11" t="s">
        <v>2646</v>
      </c>
      <c r="D179" s="11" t="s">
        <v>632</v>
      </c>
      <c r="E179" s="11" t="str">
        <f>"0,6428"</f>
        <v>0,6428</v>
      </c>
      <c r="F179" s="11" t="s">
        <v>2096</v>
      </c>
      <c r="G179" s="12" t="s">
        <v>209</v>
      </c>
      <c r="H179" s="12" t="s">
        <v>147</v>
      </c>
      <c r="I179" s="12" t="s">
        <v>58</v>
      </c>
      <c r="J179" s="13"/>
      <c r="K179" s="37" t="str">
        <f>"140,0"</f>
        <v>140,0</v>
      </c>
      <c r="L179" s="13" t="str">
        <f>"89,9920"</f>
        <v>89,9920</v>
      </c>
      <c r="M179" s="11" t="s">
        <v>2647</v>
      </c>
    </row>
    <row r="180" spans="1:13">
      <c r="A180" s="17" t="s">
        <v>15</v>
      </c>
      <c r="B180" s="14" t="s">
        <v>2648</v>
      </c>
      <c r="C180" s="14" t="s">
        <v>2649</v>
      </c>
      <c r="D180" s="14" t="s">
        <v>615</v>
      </c>
      <c r="E180" s="14" t="str">
        <f>"0,6491"</f>
        <v>0,6491</v>
      </c>
      <c r="F180" s="14" t="s">
        <v>1950</v>
      </c>
      <c r="G180" s="15" t="s">
        <v>254</v>
      </c>
      <c r="H180" s="15" t="s">
        <v>347</v>
      </c>
      <c r="I180" s="16" t="s">
        <v>351</v>
      </c>
      <c r="J180" s="17"/>
      <c r="K180" s="40" t="str">
        <f>"167,5"</f>
        <v>167,5</v>
      </c>
      <c r="L180" s="17" t="str">
        <f>"108,7243"</f>
        <v>108,7243</v>
      </c>
      <c r="M180" s="14" t="s">
        <v>2157</v>
      </c>
    </row>
    <row r="181" spans="1:13">
      <c r="A181" s="17" t="s">
        <v>62</v>
      </c>
      <c r="B181" s="14" t="s">
        <v>2650</v>
      </c>
      <c r="C181" s="14" t="s">
        <v>2651</v>
      </c>
      <c r="D181" s="14" t="s">
        <v>1474</v>
      </c>
      <c r="E181" s="14" t="str">
        <f>"0,6451"</f>
        <v>0,6451</v>
      </c>
      <c r="F181" s="14" t="s">
        <v>222</v>
      </c>
      <c r="G181" s="16" t="s">
        <v>152</v>
      </c>
      <c r="H181" s="16" t="s">
        <v>152</v>
      </c>
      <c r="I181" s="15" t="s">
        <v>152</v>
      </c>
      <c r="J181" s="17"/>
      <c r="K181" s="40" t="str">
        <f>"165,0"</f>
        <v>165,0</v>
      </c>
      <c r="L181" s="17" t="str">
        <f>"106,4415"</f>
        <v>106,4415</v>
      </c>
      <c r="M181" s="14" t="s">
        <v>158</v>
      </c>
    </row>
    <row r="182" spans="1:13">
      <c r="A182" s="17" t="s">
        <v>73</v>
      </c>
      <c r="B182" s="14" t="s">
        <v>2652</v>
      </c>
      <c r="C182" s="14" t="s">
        <v>2653</v>
      </c>
      <c r="D182" s="14" t="s">
        <v>1749</v>
      </c>
      <c r="E182" s="14" t="str">
        <f>"0,6463"</f>
        <v>0,6463</v>
      </c>
      <c r="F182" s="14" t="s">
        <v>1922</v>
      </c>
      <c r="G182" s="15" t="s">
        <v>58</v>
      </c>
      <c r="H182" s="15" t="s">
        <v>204</v>
      </c>
      <c r="I182" s="15" t="s">
        <v>342</v>
      </c>
      <c r="J182" s="17"/>
      <c r="K182" s="40" t="str">
        <f>"152,5"</f>
        <v>152,5</v>
      </c>
      <c r="L182" s="17" t="str">
        <f>"98,5608"</f>
        <v>98,5608</v>
      </c>
      <c r="M182" s="14" t="s">
        <v>158</v>
      </c>
    </row>
    <row r="183" spans="1:13">
      <c r="A183" s="17" t="s">
        <v>75</v>
      </c>
      <c r="B183" s="14" t="s">
        <v>2124</v>
      </c>
      <c r="C183" s="14" t="s">
        <v>2125</v>
      </c>
      <c r="D183" s="14" t="s">
        <v>625</v>
      </c>
      <c r="E183" s="14" t="str">
        <f>"0,6402"</f>
        <v>0,6402</v>
      </c>
      <c r="F183" s="14" t="s">
        <v>737</v>
      </c>
      <c r="G183" s="15" t="s">
        <v>209</v>
      </c>
      <c r="H183" s="15" t="s">
        <v>58</v>
      </c>
      <c r="I183" s="16" t="s">
        <v>60</v>
      </c>
      <c r="J183" s="17"/>
      <c r="K183" s="40" t="str">
        <f>"140,0"</f>
        <v>140,0</v>
      </c>
      <c r="L183" s="17" t="str">
        <f>"89,6280"</f>
        <v>89,6280</v>
      </c>
      <c r="M183" s="14" t="s">
        <v>517</v>
      </c>
    </row>
    <row r="184" spans="1:13">
      <c r="A184" s="17" t="s">
        <v>87</v>
      </c>
      <c r="B184" s="14" t="s">
        <v>2654</v>
      </c>
      <c r="C184" s="14" t="s">
        <v>2655</v>
      </c>
      <c r="D184" s="14" t="s">
        <v>1118</v>
      </c>
      <c r="E184" s="14" t="str">
        <f>"0,6440"</f>
        <v>0,6440</v>
      </c>
      <c r="F184" s="14" t="s">
        <v>91</v>
      </c>
      <c r="G184" s="15" t="s">
        <v>70</v>
      </c>
      <c r="H184" s="15" t="s">
        <v>145</v>
      </c>
      <c r="I184" s="16" t="s">
        <v>157</v>
      </c>
      <c r="J184" s="17"/>
      <c r="K184" s="40" t="str">
        <f>"125,0"</f>
        <v>125,0</v>
      </c>
      <c r="L184" s="17" t="str">
        <f>"80,5000"</f>
        <v>80,5000</v>
      </c>
      <c r="M184" s="14" t="s">
        <v>158</v>
      </c>
    </row>
    <row r="185" spans="1:13">
      <c r="A185" s="17" t="s">
        <v>15</v>
      </c>
      <c r="B185" s="14" t="s">
        <v>2656</v>
      </c>
      <c r="C185" s="14" t="s">
        <v>2657</v>
      </c>
      <c r="D185" s="14" t="s">
        <v>1081</v>
      </c>
      <c r="E185" s="14" t="str">
        <f>"0,6384"</f>
        <v>0,6384</v>
      </c>
      <c r="F185" s="14" t="s">
        <v>2658</v>
      </c>
      <c r="G185" s="15" t="s">
        <v>392</v>
      </c>
      <c r="H185" s="16" t="s">
        <v>506</v>
      </c>
      <c r="I185" s="15" t="s">
        <v>506</v>
      </c>
      <c r="J185" s="17"/>
      <c r="K185" s="40" t="str">
        <f>"197,5"</f>
        <v>197,5</v>
      </c>
      <c r="L185" s="17" t="str">
        <f>"126,0840"</f>
        <v>126,0840</v>
      </c>
      <c r="M185" s="14" t="s">
        <v>2659</v>
      </c>
    </row>
    <row r="186" spans="1:13">
      <c r="A186" s="17" t="s">
        <v>62</v>
      </c>
      <c r="B186" s="14" t="s">
        <v>2660</v>
      </c>
      <c r="C186" s="14" t="s">
        <v>2661</v>
      </c>
      <c r="D186" s="14" t="s">
        <v>1701</v>
      </c>
      <c r="E186" s="14" t="str">
        <f>"0,6444"</f>
        <v>0,6444</v>
      </c>
      <c r="F186" s="14" t="s">
        <v>1897</v>
      </c>
      <c r="G186" s="15" t="s">
        <v>368</v>
      </c>
      <c r="H186" s="16" t="s">
        <v>392</v>
      </c>
      <c r="I186" s="16" t="s">
        <v>392</v>
      </c>
      <c r="J186" s="17"/>
      <c r="K186" s="40" t="str">
        <f>"185,0"</f>
        <v>185,0</v>
      </c>
      <c r="L186" s="17" t="str">
        <f>"119,2140"</f>
        <v>119,2140</v>
      </c>
      <c r="M186" s="14" t="s">
        <v>2662</v>
      </c>
    </row>
    <row r="187" spans="1:13">
      <c r="A187" s="17" t="s">
        <v>73</v>
      </c>
      <c r="B187" s="14" t="s">
        <v>2663</v>
      </c>
      <c r="C187" s="14" t="s">
        <v>2664</v>
      </c>
      <c r="D187" s="14" t="s">
        <v>952</v>
      </c>
      <c r="E187" s="14" t="str">
        <f>"0,6479"</f>
        <v>0,6479</v>
      </c>
      <c r="F187" s="14" t="s">
        <v>91</v>
      </c>
      <c r="G187" s="15" t="s">
        <v>205</v>
      </c>
      <c r="H187" s="15" t="s">
        <v>152</v>
      </c>
      <c r="I187" s="15" t="s">
        <v>550</v>
      </c>
      <c r="J187" s="17"/>
      <c r="K187" s="40" t="str">
        <f>"172,5"</f>
        <v>172,5</v>
      </c>
      <c r="L187" s="17" t="str">
        <f>"111,7627"</f>
        <v>111,7627</v>
      </c>
      <c r="M187" s="14" t="s">
        <v>158</v>
      </c>
    </row>
    <row r="188" spans="1:13">
      <c r="A188" s="17" t="s">
        <v>75</v>
      </c>
      <c r="B188" s="14" t="s">
        <v>2648</v>
      </c>
      <c r="C188" s="14" t="s">
        <v>2665</v>
      </c>
      <c r="D188" s="14" t="s">
        <v>615</v>
      </c>
      <c r="E188" s="14" t="str">
        <f>"0,6491"</f>
        <v>0,6491</v>
      </c>
      <c r="F188" s="14" t="s">
        <v>1950</v>
      </c>
      <c r="G188" s="15" t="s">
        <v>254</v>
      </c>
      <c r="H188" s="15" t="s">
        <v>347</v>
      </c>
      <c r="I188" s="16" t="s">
        <v>351</v>
      </c>
      <c r="J188" s="17"/>
      <c r="K188" s="40" t="str">
        <f>"167,5"</f>
        <v>167,5</v>
      </c>
      <c r="L188" s="17" t="str">
        <f>"108,7243"</f>
        <v>108,7243</v>
      </c>
      <c r="M188" s="14" t="s">
        <v>2157</v>
      </c>
    </row>
    <row r="189" spans="1:13">
      <c r="A189" s="17" t="s">
        <v>87</v>
      </c>
      <c r="B189" s="14" t="s">
        <v>2666</v>
      </c>
      <c r="C189" s="14" t="s">
        <v>2667</v>
      </c>
      <c r="D189" s="14" t="s">
        <v>1480</v>
      </c>
      <c r="E189" s="14" t="str">
        <f>"0,6413"</f>
        <v>0,6413</v>
      </c>
      <c r="F189" s="14" t="s">
        <v>91</v>
      </c>
      <c r="G189" s="15" t="s">
        <v>151</v>
      </c>
      <c r="H189" s="15" t="s">
        <v>347</v>
      </c>
      <c r="I189" s="16" t="s">
        <v>351</v>
      </c>
      <c r="J189" s="17"/>
      <c r="K189" s="40" t="str">
        <f>"167,5"</f>
        <v>167,5</v>
      </c>
      <c r="L189" s="17" t="str">
        <f>"107,4178"</f>
        <v>107,4178</v>
      </c>
      <c r="M189" s="14" t="s">
        <v>158</v>
      </c>
    </row>
    <row r="190" spans="1:13">
      <c r="A190" s="17" t="s">
        <v>168</v>
      </c>
      <c r="B190" s="14" t="s">
        <v>2668</v>
      </c>
      <c r="C190" s="14" t="s">
        <v>2669</v>
      </c>
      <c r="D190" s="14" t="s">
        <v>2670</v>
      </c>
      <c r="E190" s="14" t="str">
        <f>"0,6665"</f>
        <v>0,6665</v>
      </c>
      <c r="F190" s="14" t="s">
        <v>91</v>
      </c>
      <c r="G190" s="16" t="s">
        <v>342</v>
      </c>
      <c r="H190" s="15" t="s">
        <v>342</v>
      </c>
      <c r="I190" s="15" t="s">
        <v>151</v>
      </c>
      <c r="J190" s="17"/>
      <c r="K190" s="40" t="str">
        <f>"160,0"</f>
        <v>160,0</v>
      </c>
      <c r="L190" s="17" t="str">
        <f>"106,6400"</f>
        <v>106,6400</v>
      </c>
      <c r="M190" s="14" t="s">
        <v>158</v>
      </c>
    </row>
    <row r="191" spans="1:13">
      <c r="A191" s="17" t="s">
        <v>172</v>
      </c>
      <c r="B191" s="14" t="s">
        <v>2671</v>
      </c>
      <c r="C191" s="14" t="s">
        <v>2672</v>
      </c>
      <c r="D191" s="14" t="s">
        <v>632</v>
      </c>
      <c r="E191" s="14" t="str">
        <f>"0,6428"</f>
        <v>0,6428</v>
      </c>
      <c r="F191" s="14" t="s">
        <v>2673</v>
      </c>
      <c r="G191" s="15" t="s">
        <v>151</v>
      </c>
      <c r="H191" s="16" t="s">
        <v>152</v>
      </c>
      <c r="I191" s="16" t="s">
        <v>152</v>
      </c>
      <c r="J191" s="17"/>
      <c r="K191" s="40" t="str">
        <f>"160,0"</f>
        <v>160,0</v>
      </c>
      <c r="L191" s="17" t="str">
        <f>"102,8480"</f>
        <v>102,8480</v>
      </c>
      <c r="M191" s="14" t="s">
        <v>158</v>
      </c>
    </row>
    <row r="192" spans="1:13">
      <c r="A192" s="17" t="s">
        <v>178</v>
      </c>
      <c r="B192" s="14" t="s">
        <v>2674</v>
      </c>
      <c r="C192" s="14" t="s">
        <v>2675</v>
      </c>
      <c r="D192" s="14" t="s">
        <v>1076</v>
      </c>
      <c r="E192" s="14" t="str">
        <f>"0,6447"</f>
        <v>0,6447</v>
      </c>
      <c r="F192" s="14" t="s">
        <v>294</v>
      </c>
      <c r="G192" s="15" t="s">
        <v>342</v>
      </c>
      <c r="H192" s="15" t="s">
        <v>254</v>
      </c>
      <c r="I192" s="16" t="s">
        <v>151</v>
      </c>
      <c r="J192" s="17"/>
      <c r="K192" s="40" t="str">
        <f>"157,5"</f>
        <v>157,5</v>
      </c>
      <c r="L192" s="17" t="str">
        <f>"101,5402"</f>
        <v>101,5402</v>
      </c>
      <c r="M192" s="14" t="s">
        <v>158</v>
      </c>
    </row>
    <row r="193" spans="1:13">
      <c r="A193" s="17" t="s">
        <v>183</v>
      </c>
      <c r="B193" s="14" t="s">
        <v>2676</v>
      </c>
      <c r="C193" s="14" t="s">
        <v>2677</v>
      </c>
      <c r="D193" s="14" t="s">
        <v>2678</v>
      </c>
      <c r="E193" s="14" t="str">
        <f>"0,6536"</f>
        <v>0,6536</v>
      </c>
      <c r="F193" s="14" t="s">
        <v>232</v>
      </c>
      <c r="G193" s="15" t="s">
        <v>58</v>
      </c>
      <c r="H193" s="15" t="s">
        <v>59</v>
      </c>
      <c r="I193" s="15" t="s">
        <v>60</v>
      </c>
      <c r="J193" s="17"/>
      <c r="K193" s="40" t="str">
        <f>"150,0"</f>
        <v>150,0</v>
      </c>
      <c r="L193" s="17" t="str">
        <f>"98,0400"</f>
        <v>98,0400</v>
      </c>
      <c r="M193" s="14" t="s">
        <v>2679</v>
      </c>
    </row>
    <row r="194" spans="1:13">
      <c r="A194" s="17" t="s">
        <v>186</v>
      </c>
      <c r="B194" s="14" t="s">
        <v>2680</v>
      </c>
      <c r="C194" s="14" t="s">
        <v>1945</v>
      </c>
      <c r="D194" s="14" t="s">
        <v>2681</v>
      </c>
      <c r="E194" s="14" t="str">
        <f>"0,6436"</f>
        <v>0,6436</v>
      </c>
      <c r="F194" s="14" t="s">
        <v>1697</v>
      </c>
      <c r="G194" s="15" t="s">
        <v>59</v>
      </c>
      <c r="H194" s="16" t="s">
        <v>342</v>
      </c>
      <c r="I194" s="16" t="s">
        <v>342</v>
      </c>
      <c r="J194" s="17"/>
      <c r="K194" s="40" t="str">
        <f>"145,0"</f>
        <v>145,0</v>
      </c>
      <c r="L194" s="17" t="str">
        <f>"93,3220"</f>
        <v>93,3220</v>
      </c>
      <c r="M194" s="14" t="s">
        <v>158</v>
      </c>
    </row>
    <row r="195" spans="1:13">
      <c r="A195" s="17" t="s">
        <v>556</v>
      </c>
      <c r="B195" s="14" t="s">
        <v>2682</v>
      </c>
      <c r="C195" s="14" t="s">
        <v>2683</v>
      </c>
      <c r="D195" s="14" t="s">
        <v>1076</v>
      </c>
      <c r="E195" s="14" t="str">
        <f>"0,6447"</f>
        <v>0,6447</v>
      </c>
      <c r="F195" s="14" t="s">
        <v>91</v>
      </c>
      <c r="G195" s="15" t="s">
        <v>157</v>
      </c>
      <c r="H195" s="15" t="s">
        <v>58</v>
      </c>
      <c r="I195" s="16" t="s">
        <v>59</v>
      </c>
      <c r="J195" s="17"/>
      <c r="K195" s="40" t="str">
        <f>"140,0"</f>
        <v>140,0</v>
      </c>
      <c r="L195" s="17" t="str">
        <f>"90,2580"</f>
        <v>90,2580</v>
      </c>
      <c r="M195" s="14" t="s">
        <v>2684</v>
      </c>
    </row>
    <row r="196" spans="1:13">
      <c r="A196" s="17" t="s">
        <v>559</v>
      </c>
      <c r="B196" s="14" t="s">
        <v>2685</v>
      </c>
      <c r="C196" s="14" t="s">
        <v>2686</v>
      </c>
      <c r="D196" s="14" t="s">
        <v>1066</v>
      </c>
      <c r="E196" s="14" t="str">
        <f>"0,6471"</f>
        <v>0,6471</v>
      </c>
      <c r="F196" s="14" t="s">
        <v>1063</v>
      </c>
      <c r="G196" s="15" t="s">
        <v>145</v>
      </c>
      <c r="H196" s="15" t="s">
        <v>157</v>
      </c>
      <c r="I196" s="15" t="s">
        <v>147</v>
      </c>
      <c r="J196" s="17"/>
      <c r="K196" s="40" t="str">
        <f>"137,5"</f>
        <v>137,5</v>
      </c>
      <c r="L196" s="17" t="str">
        <f>"88,9762"</f>
        <v>88,9762</v>
      </c>
      <c r="M196" s="14" t="s">
        <v>158</v>
      </c>
    </row>
    <row r="197" spans="1:13">
      <c r="A197" s="17" t="s">
        <v>564</v>
      </c>
      <c r="B197" s="14" t="s">
        <v>2687</v>
      </c>
      <c r="C197" s="14" t="s">
        <v>2688</v>
      </c>
      <c r="D197" s="14" t="s">
        <v>1070</v>
      </c>
      <c r="E197" s="14" t="str">
        <f>"0,6424"</f>
        <v>0,6424</v>
      </c>
      <c r="F197" s="14" t="s">
        <v>1882</v>
      </c>
      <c r="G197" s="15" t="s">
        <v>145</v>
      </c>
      <c r="H197" s="16" t="s">
        <v>157</v>
      </c>
      <c r="I197" s="15" t="s">
        <v>157</v>
      </c>
      <c r="J197" s="17"/>
      <c r="K197" s="40" t="str">
        <f>"132,5"</f>
        <v>132,5</v>
      </c>
      <c r="L197" s="17" t="str">
        <f>"85,1180"</f>
        <v>85,1180</v>
      </c>
      <c r="M197" s="14" t="s">
        <v>158</v>
      </c>
    </row>
    <row r="198" spans="1:13">
      <c r="A198" s="17" t="s">
        <v>92</v>
      </c>
      <c r="B198" s="14" t="s">
        <v>2689</v>
      </c>
      <c r="C198" s="14" t="s">
        <v>2690</v>
      </c>
      <c r="D198" s="14" t="s">
        <v>1474</v>
      </c>
      <c r="E198" s="14" t="str">
        <f>"0,6451"</f>
        <v>0,6451</v>
      </c>
      <c r="F198" s="14" t="s">
        <v>2691</v>
      </c>
      <c r="G198" s="16" t="s">
        <v>70</v>
      </c>
      <c r="H198" s="16" t="s">
        <v>85</v>
      </c>
      <c r="I198" s="16" t="s">
        <v>85</v>
      </c>
      <c r="J198" s="17"/>
      <c r="K198" s="40">
        <v>0</v>
      </c>
      <c r="L198" s="17" t="str">
        <f>"0,0000"</f>
        <v>0,0000</v>
      </c>
      <c r="M198" s="14" t="s">
        <v>158</v>
      </c>
    </row>
    <row r="199" spans="1:13">
      <c r="A199" s="17" t="s">
        <v>92</v>
      </c>
      <c r="B199" s="14" t="s">
        <v>2692</v>
      </c>
      <c r="C199" s="14" t="s">
        <v>2693</v>
      </c>
      <c r="D199" s="14" t="s">
        <v>1736</v>
      </c>
      <c r="E199" s="14" t="str">
        <f>"0,6410"</f>
        <v>0,6410</v>
      </c>
      <c r="F199" s="14" t="s">
        <v>91</v>
      </c>
      <c r="G199" s="16" t="s">
        <v>398</v>
      </c>
      <c r="H199" s="16" t="s">
        <v>398</v>
      </c>
      <c r="I199" s="16" t="s">
        <v>458</v>
      </c>
      <c r="J199" s="17"/>
      <c r="K199" s="40">
        <v>0</v>
      </c>
      <c r="L199" s="17" t="str">
        <f>"0,0000"</f>
        <v>0,0000</v>
      </c>
      <c r="M199" s="14" t="s">
        <v>2694</v>
      </c>
    </row>
    <row r="200" spans="1:13">
      <c r="A200" s="17" t="s">
        <v>15</v>
      </c>
      <c r="B200" s="14" t="s">
        <v>2695</v>
      </c>
      <c r="C200" s="14" t="s">
        <v>2696</v>
      </c>
      <c r="D200" s="14" t="s">
        <v>1480</v>
      </c>
      <c r="E200" s="14" t="str">
        <f>"0,6413"</f>
        <v>0,6413</v>
      </c>
      <c r="F200" s="14" t="s">
        <v>125</v>
      </c>
      <c r="G200" s="15" t="s">
        <v>427</v>
      </c>
      <c r="H200" s="16" t="s">
        <v>347</v>
      </c>
      <c r="I200" s="16" t="s">
        <v>347</v>
      </c>
      <c r="J200" s="17"/>
      <c r="K200" s="40" t="str">
        <f>"162,5"</f>
        <v>162,5</v>
      </c>
      <c r="L200" s="17" t="str">
        <f>"108,7965"</f>
        <v>108,7965</v>
      </c>
      <c r="M200" s="14" t="s">
        <v>158</v>
      </c>
    </row>
    <row r="201" spans="1:13">
      <c r="A201" s="17" t="s">
        <v>62</v>
      </c>
      <c r="B201" s="14" t="s">
        <v>2697</v>
      </c>
      <c r="C201" s="14" t="s">
        <v>2698</v>
      </c>
      <c r="D201" s="14" t="s">
        <v>660</v>
      </c>
      <c r="E201" s="14" t="str">
        <f>"0,6417"</f>
        <v>0,6417</v>
      </c>
      <c r="F201" s="14" t="s">
        <v>1121</v>
      </c>
      <c r="G201" s="15" t="s">
        <v>151</v>
      </c>
      <c r="H201" s="16" t="s">
        <v>152</v>
      </c>
      <c r="I201" s="16" t="s">
        <v>152</v>
      </c>
      <c r="J201" s="17"/>
      <c r="K201" s="40" t="str">
        <f>"160,0"</f>
        <v>160,0</v>
      </c>
      <c r="L201" s="17" t="str">
        <f>"105,5468"</f>
        <v>105,5468</v>
      </c>
      <c r="M201" s="14" t="s">
        <v>2699</v>
      </c>
    </row>
    <row r="202" spans="1:13">
      <c r="A202" s="17" t="s">
        <v>73</v>
      </c>
      <c r="B202" s="14" t="s">
        <v>2700</v>
      </c>
      <c r="C202" s="14" t="s">
        <v>2260</v>
      </c>
      <c r="D202" s="14" t="s">
        <v>632</v>
      </c>
      <c r="E202" s="14" t="str">
        <f>"0,6428"</f>
        <v>0,6428</v>
      </c>
      <c r="F202" s="14" t="s">
        <v>2418</v>
      </c>
      <c r="G202" s="15" t="s">
        <v>58</v>
      </c>
      <c r="H202" s="15" t="s">
        <v>204</v>
      </c>
      <c r="I202" s="15" t="s">
        <v>342</v>
      </c>
      <c r="J202" s="17"/>
      <c r="K202" s="40" t="str">
        <f>"152,5"</f>
        <v>152,5</v>
      </c>
      <c r="L202" s="17" t="str">
        <f>"99,3994"</f>
        <v>99,3994</v>
      </c>
      <c r="M202" s="14" t="s">
        <v>158</v>
      </c>
    </row>
    <row r="203" spans="1:13">
      <c r="A203" s="17" t="s">
        <v>75</v>
      </c>
      <c r="B203" s="14" t="s">
        <v>2701</v>
      </c>
      <c r="C203" s="14" t="s">
        <v>2702</v>
      </c>
      <c r="D203" s="14" t="s">
        <v>1486</v>
      </c>
      <c r="E203" s="14" t="str">
        <f>"0,6421"</f>
        <v>0,6421</v>
      </c>
      <c r="F203" s="14" t="s">
        <v>1533</v>
      </c>
      <c r="G203" s="15" t="s">
        <v>204</v>
      </c>
      <c r="H203" s="15" t="s">
        <v>342</v>
      </c>
      <c r="I203" s="16" t="s">
        <v>205</v>
      </c>
      <c r="J203" s="17"/>
      <c r="K203" s="40" t="str">
        <f>"152,5"</f>
        <v>152,5</v>
      </c>
      <c r="L203" s="17" t="str">
        <f>"98,4098"</f>
        <v>98,4098</v>
      </c>
      <c r="M203" s="14" t="s">
        <v>158</v>
      </c>
    </row>
    <row r="204" spans="1:13">
      <c r="A204" s="17" t="s">
        <v>87</v>
      </c>
      <c r="B204" s="14" t="s">
        <v>2703</v>
      </c>
      <c r="C204" s="14" t="s">
        <v>2704</v>
      </c>
      <c r="D204" s="14" t="s">
        <v>1081</v>
      </c>
      <c r="E204" s="14" t="str">
        <f>"0,6384"</f>
        <v>0,6384</v>
      </c>
      <c r="F204" s="14" t="s">
        <v>91</v>
      </c>
      <c r="G204" s="15" t="s">
        <v>58</v>
      </c>
      <c r="H204" s="16" t="s">
        <v>59</v>
      </c>
      <c r="I204" s="16" t="s">
        <v>59</v>
      </c>
      <c r="J204" s="17"/>
      <c r="K204" s="40" t="str">
        <f>"140,0"</f>
        <v>140,0</v>
      </c>
      <c r="L204" s="17" t="str">
        <f>"89,3760"</f>
        <v>89,3760</v>
      </c>
      <c r="M204" s="14" t="s">
        <v>799</v>
      </c>
    </row>
    <row r="205" spans="1:13">
      <c r="A205" s="17" t="s">
        <v>168</v>
      </c>
      <c r="B205" s="14" t="s">
        <v>2140</v>
      </c>
      <c r="C205" s="14" t="s">
        <v>2141</v>
      </c>
      <c r="D205" s="14" t="s">
        <v>1741</v>
      </c>
      <c r="E205" s="14" t="str">
        <f>"0,6487"</f>
        <v>0,6487</v>
      </c>
      <c r="F205" s="14" t="s">
        <v>2142</v>
      </c>
      <c r="G205" s="15" t="s">
        <v>157</v>
      </c>
      <c r="H205" s="17"/>
      <c r="I205" s="17"/>
      <c r="J205" s="17"/>
      <c r="K205" s="40" t="str">
        <f>"132,5"</f>
        <v>132,5</v>
      </c>
      <c r="L205" s="17" t="str">
        <f>"85,9527"</f>
        <v>85,9527</v>
      </c>
      <c r="M205" s="14" t="s">
        <v>2122</v>
      </c>
    </row>
    <row r="206" spans="1:13">
      <c r="A206" s="17" t="s">
        <v>15</v>
      </c>
      <c r="B206" s="14" t="s">
        <v>2705</v>
      </c>
      <c r="C206" s="14" t="s">
        <v>2706</v>
      </c>
      <c r="D206" s="14" t="s">
        <v>1741</v>
      </c>
      <c r="E206" s="14" t="str">
        <f>"0,6487"</f>
        <v>0,6487</v>
      </c>
      <c r="F206" s="14" t="s">
        <v>91</v>
      </c>
      <c r="G206" s="15" t="s">
        <v>205</v>
      </c>
      <c r="H206" s="16" t="s">
        <v>151</v>
      </c>
      <c r="I206" s="15" t="s">
        <v>151</v>
      </c>
      <c r="J206" s="17"/>
      <c r="K206" s="40" t="str">
        <f>"160,0"</f>
        <v>160,0</v>
      </c>
      <c r="L206" s="17" t="str">
        <f>"123,2011"</f>
        <v>123,2011</v>
      </c>
      <c r="M206" s="14" t="s">
        <v>158</v>
      </c>
    </row>
    <row r="207" spans="1:13">
      <c r="A207" s="17" t="s">
        <v>62</v>
      </c>
      <c r="B207" s="14" t="s">
        <v>2707</v>
      </c>
      <c r="C207" s="14" t="s">
        <v>2708</v>
      </c>
      <c r="D207" s="14" t="s">
        <v>1081</v>
      </c>
      <c r="E207" s="14" t="str">
        <f>"0,6384"</f>
        <v>0,6384</v>
      </c>
      <c r="F207" s="14" t="s">
        <v>1817</v>
      </c>
      <c r="G207" s="15" t="s">
        <v>205</v>
      </c>
      <c r="H207" s="16" t="s">
        <v>151</v>
      </c>
      <c r="I207" s="16" t="s">
        <v>151</v>
      </c>
      <c r="J207" s="17"/>
      <c r="K207" s="40" t="str">
        <f>"155,0"</f>
        <v>155,0</v>
      </c>
      <c r="L207" s="17" t="str">
        <f>"117,4560"</f>
        <v>117,4560</v>
      </c>
      <c r="M207" s="14" t="s">
        <v>158</v>
      </c>
    </row>
    <row r="208" spans="1:13">
      <c r="A208" s="17" t="s">
        <v>15</v>
      </c>
      <c r="B208" s="14" t="s">
        <v>2709</v>
      </c>
      <c r="C208" s="14" t="s">
        <v>2710</v>
      </c>
      <c r="D208" s="14" t="s">
        <v>1701</v>
      </c>
      <c r="E208" s="14" t="str">
        <f>"0,6444"</f>
        <v>0,6444</v>
      </c>
      <c r="F208" s="14" t="s">
        <v>2711</v>
      </c>
      <c r="G208" s="15" t="s">
        <v>346</v>
      </c>
      <c r="H208" s="15" t="s">
        <v>60</v>
      </c>
      <c r="I208" s="15" t="s">
        <v>342</v>
      </c>
      <c r="J208" s="17"/>
      <c r="K208" s="40" t="str">
        <f>"152,5"</f>
        <v>152,5</v>
      </c>
      <c r="L208" s="17" t="str">
        <f>"135,6140"</f>
        <v>135,6140</v>
      </c>
      <c r="M208" s="14" t="s">
        <v>158</v>
      </c>
    </row>
    <row r="209" spans="1:13">
      <c r="A209" s="17" t="s">
        <v>62</v>
      </c>
      <c r="B209" s="14" t="s">
        <v>2712</v>
      </c>
      <c r="C209" s="14" t="s">
        <v>2713</v>
      </c>
      <c r="D209" s="14" t="s">
        <v>643</v>
      </c>
      <c r="E209" s="14" t="str">
        <f>"0,6391"</f>
        <v>0,6391</v>
      </c>
      <c r="F209" s="14" t="s">
        <v>2714</v>
      </c>
      <c r="G209" s="15" t="s">
        <v>59</v>
      </c>
      <c r="H209" s="15" t="s">
        <v>60</v>
      </c>
      <c r="I209" s="16" t="s">
        <v>342</v>
      </c>
      <c r="J209" s="17"/>
      <c r="K209" s="40" t="str">
        <f>"150,0"</f>
        <v>150,0</v>
      </c>
      <c r="L209" s="17" t="str">
        <f>"132,2937"</f>
        <v>132,2937</v>
      </c>
      <c r="M209" s="14" t="s">
        <v>158</v>
      </c>
    </row>
    <row r="210" spans="1:13">
      <c r="A210" s="17" t="s">
        <v>73</v>
      </c>
      <c r="B210" s="14" t="s">
        <v>2715</v>
      </c>
      <c r="C210" s="14" t="s">
        <v>2716</v>
      </c>
      <c r="D210" s="14" t="s">
        <v>1114</v>
      </c>
      <c r="E210" s="14" t="str">
        <f>"0,6467"</f>
        <v>0,6467</v>
      </c>
      <c r="F210" s="14" t="s">
        <v>2717</v>
      </c>
      <c r="G210" s="15" t="s">
        <v>59</v>
      </c>
      <c r="H210" s="16" t="s">
        <v>204</v>
      </c>
      <c r="I210" s="16" t="s">
        <v>204</v>
      </c>
      <c r="J210" s="17"/>
      <c r="K210" s="40" t="str">
        <f>"145,0"</f>
        <v>145,0</v>
      </c>
      <c r="L210" s="17" t="str">
        <f>"137,8441"</f>
        <v>137,8441</v>
      </c>
      <c r="M210" s="14" t="s">
        <v>158</v>
      </c>
    </row>
    <row r="211" spans="1:13">
      <c r="A211" s="20" t="s">
        <v>15</v>
      </c>
      <c r="B211" s="18" t="s">
        <v>667</v>
      </c>
      <c r="C211" s="18" t="s">
        <v>668</v>
      </c>
      <c r="D211" s="18" t="s">
        <v>622</v>
      </c>
      <c r="E211" s="18" t="str">
        <f>"0,6495"</f>
        <v>0,6495</v>
      </c>
      <c r="F211" s="18" t="s">
        <v>669</v>
      </c>
      <c r="G211" s="19" t="s">
        <v>70</v>
      </c>
      <c r="H211" s="19" t="s">
        <v>145</v>
      </c>
      <c r="I211" s="19" t="s">
        <v>85</v>
      </c>
      <c r="J211" s="20"/>
      <c r="K211" s="38" t="str">
        <f>"127,5"</f>
        <v>127,5</v>
      </c>
      <c r="L211" s="20" t="str">
        <f>"157,3414"</f>
        <v>157,3414</v>
      </c>
      <c r="M211" s="18" t="s">
        <v>158</v>
      </c>
    </row>
    <row r="212" spans="1:13">
      <c r="B212" s="5" t="s">
        <v>40</v>
      </c>
    </row>
    <row r="213" spans="1:13" ht="15.95">
      <c r="A213" s="102" t="s">
        <v>670</v>
      </c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</row>
    <row r="214" spans="1:13">
      <c r="A214" s="13" t="s">
        <v>15</v>
      </c>
      <c r="B214" s="11" t="s">
        <v>1511</v>
      </c>
      <c r="C214" s="11" t="s">
        <v>1512</v>
      </c>
      <c r="D214" s="11" t="s">
        <v>1513</v>
      </c>
      <c r="E214" s="11" t="str">
        <f>"0,6166"</f>
        <v>0,6166</v>
      </c>
      <c r="F214" s="11" t="s">
        <v>594</v>
      </c>
      <c r="G214" s="12" t="s">
        <v>81</v>
      </c>
      <c r="H214" s="12" t="s">
        <v>36</v>
      </c>
      <c r="I214" s="12" t="s">
        <v>37</v>
      </c>
      <c r="J214" s="13"/>
      <c r="K214" s="37" t="str">
        <f>"95,0"</f>
        <v>95,0</v>
      </c>
      <c r="L214" s="13" t="str">
        <f>"58,5770"</f>
        <v>58,5770</v>
      </c>
      <c r="M214" s="11" t="s">
        <v>1514</v>
      </c>
    </row>
    <row r="215" spans="1:13">
      <c r="A215" s="17" t="s">
        <v>15</v>
      </c>
      <c r="B215" s="14" t="s">
        <v>2718</v>
      </c>
      <c r="C215" s="14" t="s">
        <v>2719</v>
      </c>
      <c r="D215" s="14" t="s">
        <v>1755</v>
      </c>
      <c r="E215" s="14" t="str">
        <f>"0,6142"</f>
        <v>0,6142</v>
      </c>
      <c r="F215" s="14" t="s">
        <v>1309</v>
      </c>
      <c r="G215" s="16" t="s">
        <v>351</v>
      </c>
      <c r="H215" s="15" t="s">
        <v>351</v>
      </c>
      <c r="I215" s="16" t="s">
        <v>368</v>
      </c>
      <c r="J215" s="17"/>
      <c r="K215" s="40" t="str">
        <f>"175,0"</f>
        <v>175,0</v>
      </c>
      <c r="L215" s="17" t="str">
        <f>"107,4850"</f>
        <v>107,4850</v>
      </c>
      <c r="M215" s="14" t="s">
        <v>2386</v>
      </c>
    </row>
    <row r="216" spans="1:13">
      <c r="A216" s="17" t="s">
        <v>15</v>
      </c>
      <c r="B216" s="14" t="s">
        <v>2720</v>
      </c>
      <c r="C216" s="14" t="s">
        <v>2721</v>
      </c>
      <c r="D216" s="14" t="s">
        <v>1521</v>
      </c>
      <c r="E216" s="14" t="str">
        <f>"0,6172"</f>
        <v>0,6172</v>
      </c>
      <c r="F216" s="14" t="s">
        <v>2722</v>
      </c>
      <c r="G216" s="15" t="s">
        <v>368</v>
      </c>
      <c r="H216" s="16" t="s">
        <v>454</v>
      </c>
      <c r="I216" s="15" t="s">
        <v>506</v>
      </c>
      <c r="J216" s="17"/>
      <c r="K216" s="40" t="str">
        <f>"197,5"</f>
        <v>197,5</v>
      </c>
      <c r="L216" s="17" t="str">
        <f>"121,8970"</f>
        <v>121,8970</v>
      </c>
      <c r="M216" s="14" t="s">
        <v>158</v>
      </c>
    </row>
    <row r="217" spans="1:13">
      <c r="A217" s="17" t="s">
        <v>62</v>
      </c>
      <c r="B217" s="14" t="s">
        <v>2723</v>
      </c>
      <c r="C217" s="14" t="s">
        <v>2724</v>
      </c>
      <c r="D217" s="14" t="s">
        <v>2725</v>
      </c>
      <c r="E217" s="14" t="str">
        <f>"0,6247"</f>
        <v>0,6247</v>
      </c>
      <c r="F217" s="14" t="s">
        <v>2637</v>
      </c>
      <c r="G217" s="15" t="s">
        <v>151</v>
      </c>
      <c r="H217" s="15" t="s">
        <v>152</v>
      </c>
      <c r="I217" s="15" t="s">
        <v>248</v>
      </c>
      <c r="J217" s="17"/>
      <c r="K217" s="40" t="str">
        <f>"170,0"</f>
        <v>170,0</v>
      </c>
      <c r="L217" s="17" t="str">
        <f>"106,1990"</f>
        <v>106,1990</v>
      </c>
      <c r="M217" s="14" t="s">
        <v>2638</v>
      </c>
    </row>
    <row r="218" spans="1:13">
      <c r="A218" s="17" t="s">
        <v>73</v>
      </c>
      <c r="B218" s="14" t="s">
        <v>2726</v>
      </c>
      <c r="C218" s="14" t="s">
        <v>2727</v>
      </c>
      <c r="D218" s="14" t="s">
        <v>1193</v>
      </c>
      <c r="E218" s="14" t="str">
        <f>"0,6131"</f>
        <v>0,6131</v>
      </c>
      <c r="F218" s="14" t="s">
        <v>91</v>
      </c>
      <c r="G218" s="15" t="s">
        <v>346</v>
      </c>
      <c r="H218" s="15" t="s">
        <v>60</v>
      </c>
      <c r="I218" s="16" t="s">
        <v>254</v>
      </c>
      <c r="J218" s="17"/>
      <c r="K218" s="40" t="str">
        <f>"150,0"</f>
        <v>150,0</v>
      </c>
      <c r="L218" s="17" t="str">
        <f>"91,9650"</f>
        <v>91,9650</v>
      </c>
      <c r="M218" s="14" t="s">
        <v>158</v>
      </c>
    </row>
    <row r="219" spans="1:13">
      <c r="A219" s="17" t="s">
        <v>15</v>
      </c>
      <c r="B219" s="14" t="s">
        <v>2728</v>
      </c>
      <c r="C219" s="14" t="s">
        <v>2729</v>
      </c>
      <c r="D219" s="14" t="s">
        <v>1757</v>
      </c>
      <c r="E219" s="14" t="str">
        <f>"0,6147"</f>
        <v>0,6147</v>
      </c>
      <c r="F219" s="14" t="s">
        <v>594</v>
      </c>
      <c r="G219" s="15" t="s">
        <v>374</v>
      </c>
      <c r="H219" s="15" t="s">
        <v>384</v>
      </c>
      <c r="I219" s="16" t="s">
        <v>436</v>
      </c>
      <c r="J219" s="17"/>
      <c r="K219" s="40" t="str">
        <f>"210,0"</f>
        <v>210,0</v>
      </c>
      <c r="L219" s="17" t="str">
        <f>"129,0870"</f>
        <v>129,0870</v>
      </c>
      <c r="M219" s="14" t="s">
        <v>158</v>
      </c>
    </row>
    <row r="220" spans="1:13">
      <c r="A220" s="17" t="s">
        <v>62</v>
      </c>
      <c r="B220" s="14" t="s">
        <v>2730</v>
      </c>
      <c r="C220" s="14" t="s">
        <v>2731</v>
      </c>
      <c r="D220" s="14" t="s">
        <v>1517</v>
      </c>
      <c r="E220" s="14" t="str">
        <f>"0,6194"</f>
        <v>0,6194</v>
      </c>
      <c r="F220" s="14" t="s">
        <v>584</v>
      </c>
      <c r="G220" s="15" t="s">
        <v>368</v>
      </c>
      <c r="H220" s="15" t="s">
        <v>383</v>
      </c>
      <c r="I220" s="15" t="s">
        <v>374</v>
      </c>
      <c r="J220" s="16" t="s">
        <v>2732</v>
      </c>
      <c r="K220" s="40" t="str">
        <f>"200,0"</f>
        <v>200,0</v>
      </c>
      <c r="L220" s="17" t="str">
        <f>"123,8800"</f>
        <v>123,8800</v>
      </c>
      <c r="M220" s="14" t="s">
        <v>2733</v>
      </c>
    </row>
    <row r="221" spans="1:13">
      <c r="A221" s="17" t="s">
        <v>73</v>
      </c>
      <c r="B221" s="14" t="s">
        <v>2734</v>
      </c>
      <c r="C221" s="14" t="s">
        <v>2735</v>
      </c>
      <c r="D221" s="14" t="s">
        <v>1210</v>
      </c>
      <c r="E221" s="14" t="str">
        <f>"0,6088"</f>
        <v>0,6088</v>
      </c>
      <c r="F221" s="14" t="s">
        <v>2502</v>
      </c>
      <c r="G221" s="15" t="s">
        <v>392</v>
      </c>
      <c r="H221" s="15" t="s">
        <v>374</v>
      </c>
      <c r="I221" s="16" t="s">
        <v>399</v>
      </c>
      <c r="J221" s="17"/>
      <c r="K221" s="40" t="str">
        <f>"200,0"</f>
        <v>200,0</v>
      </c>
      <c r="L221" s="17" t="str">
        <f>"121,7600"</f>
        <v>121,7600</v>
      </c>
      <c r="M221" s="14" t="s">
        <v>2736</v>
      </c>
    </row>
    <row r="222" spans="1:13">
      <c r="A222" s="17" t="s">
        <v>75</v>
      </c>
      <c r="B222" s="14" t="s">
        <v>2720</v>
      </c>
      <c r="C222" s="14" t="s">
        <v>2737</v>
      </c>
      <c r="D222" s="14" t="s">
        <v>1521</v>
      </c>
      <c r="E222" s="14" t="str">
        <f>"0,6172"</f>
        <v>0,6172</v>
      </c>
      <c r="F222" s="14" t="s">
        <v>2738</v>
      </c>
      <c r="G222" s="15" t="s">
        <v>368</v>
      </c>
      <c r="H222" s="16" t="s">
        <v>454</v>
      </c>
      <c r="I222" s="15" t="s">
        <v>506</v>
      </c>
      <c r="J222" s="17"/>
      <c r="K222" s="40" t="str">
        <f>"197,5"</f>
        <v>197,5</v>
      </c>
      <c r="L222" s="17" t="str">
        <f>"121,8970"</f>
        <v>121,8970</v>
      </c>
      <c r="M222" s="14" t="s">
        <v>158</v>
      </c>
    </row>
    <row r="223" spans="1:13">
      <c r="A223" s="17" t="s">
        <v>87</v>
      </c>
      <c r="B223" s="14" t="s">
        <v>2739</v>
      </c>
      <c r="C223" s="14" t="s">
        <v>2740</v>
      </c>
      <c r="D223" s="14" t="s">
        <v>677</v>
      </c>
      <c r="E223" s="14" t="str">
        <f>"0,6098"</f>
        <v>0,6098</v>
      </c>
      <c r="F223" s="14" t="s">
        <v>91</v>
      </c>
      <c r="G223" s="15" t="s">
        <v>392</v>
      </c>
      <c r="H223" s="15" t="s">
        <v>506</v>
      </c>
      <c r="I223" s="16" t="s">
        <v>743</v>
      </c>
      <c r="J223" s="17"/>
      <c r="K223" s="40" t="str">
        <f>"197,5"</f>
        <v>197,5</v>
      </c>
      <c r="L223" s="17" t="str">
        <f>"120,4355"</f>
        <v>120,4355</v>
      </c>
      <c r="M223" s="14" t="s">
        <v>158</v>
      </c>
    </row>
    <row r="224" spans="1:13">
      <c r="A224" s="17" t="s">
        <v>168</v>
      </c>
      <c r="B224" s="14" t="s">
        <v>2144</v>
      </c>
      <c r="C224" s="14" t="s">
        <v>2145</v>
      </c>
      <c r="D224" s="14" t="s">
        <v>2146</v>
      </c>
      <c r="E224" s="14" t="str">
        <f>"0,6101"</f>
        <v>0,6101</v>
      </c>
      <c r="F224" s="14" t="s">
        <v>602</v>
      </c>
      <c r="G224" s="15" t="s">
        <v>453</v>
      </c>
      <c r="H224" s="16" t="s">
        <v>383</v>
      </c>
      <c r="I224" s="15" t="s">
        <v>383</v>
      </c>
      <c r="J224" s="17"/>
      <c r="K224" s="40" t="str">
        <f>"195,0"</f>
        <v>195,0</v>
      </c>
      <c r="L224" s="17" t="str">
        <f>"118,9695"</f>
        <v>118,9695</v>
      </c>
      <c r="M224" s="14" t="s">
        <v>2147</v>
      </c>
    </row>
    <row r="225" spans="1:13">
      <c r="A225" s="17" t="s">
        <v>172</v>
      </c>
      <c r="B225" s="14" t="s">
        <v>1519</v>
      </c>
      <c r="C225" s="14" t="s">
        <v>1520</v>
      </c>
      <c r="D225" s="14" t="s">
        <v>1521</v>
      </c>
      <c r="E225" s="14" t="str">
        <f>"0,6172"</f>
        <v>0,6172</v>
      </c>
      <c r="F225" s="14" t="s">
        <v>1522</v>
      </c>
      <c r="G225" s="15" t="s">
        <v>398</v>
      </c>
      <c r="H225" s="15" t="s">
        <v>454</v>
      </c>
      <c r="I225" s="16" t="s">
        <v>743</v>
      </c>
      <c r="J225" s="17"/>
      <c r="K225" s="40" t="str">
        <f>"192,5"</f>
        <v>192,5</v>
      </c>
      <c r="L225" s="17" t="str">
        <f>"118,8110"</f>
        <v>118,8110</v>
      </c>
      <c r="M225" s="14" t="s">
        <v>1523</v>
      </c>
    </row>
    <row r="226" spans="1:13">
      <c r="A226" s="17" t="s">
        <v>178</v>
      </c>
      <c r="B226" s="14" t="s">
        <v>2741</v>
      </c>
      <c r="C226" s="14" t="s">
        <v>2742</v>
      </c>
      <c r="D226" s="14" t="s">
        <v>1835</v>
      </c>
      <c r="E226" s="14" t="str">
        <f>"0,6103"</f>
        <v>0,6103</v>
      </c>
      <c r="F226" s="14" t="s">
        <v>91</v>
      </c>
      <c r="G226" s="15" t="s">
        <v>454</v>
      </c>
      <c r="H226" s="16" t="s">
        <v>374</v>
      </c>
      <c r="I226" s="16" t="s">
        <v>743</v>
      </c>
      <c r="J226" s="17"/>
      <c r="K226" s="40" t="str">
        <f>"192,5"</f>
        <v>192,5</v>
      </c>
      <c r="L226" s="17" t="str">
        <f>"117,4828"</f>
        <v>117,4828</v>
      </c>
      <c r="M226" s="14" t="s">
        <v>1305</v>
      </c>
    </row>
    <row r="227" spans="1:13">
      <c r="A227" s="17" t="s">
        <v>183</v>
      </c>
      <c r="B227" s="14" t="s">
        <v>2743</v>
      </c>
      <c r="C227" s="14" t="s">
        <v>2744</v>
      </c>
      <c r="D227" s="14" t="s">
        <v>711</v>
      </c>
      <c r="E227" s="14" t="str">
        <f>"0,6091"</f>
        <v>0,6091</v>
      </c>
      <c r="F227" s="14" t="s">
        <v>176</v>
      </c>
      <c r="G227" s="15" t="s">
        <v>368</v>
      </c>
      <c r="H227" s="15" t="s">
        <v>454</v>
      </c>
      <c r="I227" s="16" t="s">
        <v>374</v>
      </c>
      <c r="J227" s="17"/>
      <c r="K227" s="40" t="str">
        <f>"192,5"</f>
        <v>192,5</v>
      </c>
      <c r="L227" s="17" t="str">
        <f>"117,2517"</f>
        <v>117,2517</v>
      </c>
      <c r="M227" s="14" t="s">
        <v>1655</v>
      </c>
    </row>
    <row r="228" spans="1:13">
      <c r="A228" s="17" t="s">
        <v>186</v>
      </c>
      <c r="B228" s="14" t="s">
        <v>2745</v>
      </c>
      <c r="C228" s="14" t="s">
        <v>2746</v>
      </c>
      <c r="D228" s="14" t="s">
        <v>1832</v>
      </c>
      <c r="E228" s="14" t="str">
        <f>"0,6106"</f>
        <v>0,6106</v>
      </c>
      <c r="F228" s="14" t="s">
        <v>1155</v>
      </c>
      <c r="G228" s="16" t="s">
        <v>392</v>
      </c>
      <c r="H228" s="15" t="s">
        <v>392</v>
      </c>
      <c r="I228" s="16" t="s">
        <v>374</v>
      </c>
      <c r="J228" s="17"/>
      <c r="K228" s="40" t="str">
        <f>"190,0"</f>
        <v>190,0</v>
      </c>
      <c r="L228" s="17" t="str">
        <f>"116,0140"</f>
        <v>116,0140</v>
      </c>
      <c r="M228" s="14" t="s">
        <v>2747</v>
      </c>
    </row>
    <row r="229" spans="1:13">
      <c r="A229" s="17" t="s">
        <v>556</v>
      </c>
      <c r="B229" s="14" t="s">
        <v>706</v>
      </c>
      <c r="C229" s="14" t="s">
        <v>2748</v>
      </c>
      <c r="D229" s="14" t="s">
        <v>708</v>
      </c>
      <c r="E229" s="14" t="str">
        <f>"0,6086"</f>
        <v>0,6086</v>
      </c>
      <c r="F229" s="14" t="s">
        <v>687</v>
      </c>
      <c r="G229" s="15" t="s">
        <v>351</v>
      </c>
      <c r="H229" s="15" t="s">
        <v>368</v>
      </c>
      <c r="I229" s="15" t="s">
        <v>392</v>
      </c>
      <c r="J229" s="17"/>
      <c r="K229" s="40" t="str">
        <f>"190,0"</f>
        <v>190,0</v>
      </c>
      <c r="L229" s="17" t="str">
        <f>"115,6340"</f>
        <v>115,6340</v>
      </c>
      <c r="M229" s="14" t="s">
        <v>158</v>
      </c>
    </row>
    <row r="230" spans="1:13">
      <c r="A230" s="17" t="s">
        <v>559</v>
      </c>
      <c r="B230" s="14" t="s">
        <v>2749</v>
      </c>
      <c r="C230" s="14" t="s">
        <v>2750</v>
      </c>
      <c r="D230" s="14" t="s">
        <v>698</v>
      </c>
      <c r="E230" s="14" t="str">
        <f>"0,6111"</f>
        <v>0,6111</v>
      </c>
      <c r="F230" s="14" t="s">
        <v>1451</v>
      </c>
      <c r="G230" s="15" t="s">
        <v>248</v>
      </c>
      <c r="H230" s="15" t="s">
        <v>398</v>
      </c>
      <c r="I230" s="15" t="s">
        <v>368</v>
      </c>
      <c r="J230" s="17"/>
      <c r="K230" s="40" t="str">
        <f>"185,0"</f>
        <v>185,0</v>
      </c>
      <c r="L230" s="17" t="str">
        <f>"113,0535"</f>
        <v>113,0535</v>
      </c>
      <c r="M230" s="14" t="s">
        <v>158</v>
      </c>
    </row>
    <row r="231" spans="1:13">
      <c r="A231" s="17" t="s">
        <v>564</v>
      </c>
      <c r="B231" s="14" t="s">
        <v>2751</v>
      </c>
      <c r="C231" s="14" t="s">
        <v>2752</v>
      </c>
      <c r="D231" s="14" t="s">
        <v>2753</v>
      </c>
      <c r="E231" s="14" t="str">
        <f>"0,6220"</f>
        <v>0,6220</v>
      </c>
      <c r="F231" s="14" t="s">
        <v>397</v>
      </c>
      <c r="G231" s="15" t="s">
        <v>152</v>
      </c>
      <c r="H231" s="15" t="s">
        <v>248</v>
      </c>
      <c r="I231" s="15" t="s">
        <v>351</v>
      </c>
      <c r="J231" s="17"/>
      <c r="K231" s="40" t="str">
        <f>"175,0"</f>
        <v>175,0</v>
      </c>
      <c r="L231" s="17" t="str">
        <f>"108,8500"</f>
        <v>108,8500</v>
      </c>
      <c r="M231" s="14" t="s">
        <v>2507</v>
      </c>
    </row>
    <row r="232" spans="1:13">
      <c r="A232" s="17" t="s">
        <v>569</v>
      </c>
      <c r="B232" s="14" t="s">
        <v>2754</v>
      </c>
      <c r="C232" s="14" t="s">
        <v>2755</v>
      </c>
      <c r="D232" s="14" t="s">
        <v>1193</v>
      </c>
      <c r="E232" s="14" t="str">
        <f>"0,6131"</f>
        <v>0,6131</v>
      </c>
      <c r="F232" s="14" t="s">
        <v>2756</v>
      </c>
      <c r="G232" s="15" t="s">
        <v>351</v>
      </c>
      <c r="H232" s="16" t="s">
        <v>368</v>
      </c>
      <c r="I232" s="16" t="s">
        <v>368</v>
      </c>
      <c r="J232" s="17"/>
      <c r="K232" s="40" t="str">
        <f>"175,0"</f>
        <v>175,0</v>
      </c>
      <c r="L232" s="17" t="str">
        <f>"107,2925"</f>
        <v>107,2925</v>
      </c>
      <c r="M232" s="14" t="s">
        <v>158</v>
      </c>
    </row>
    <row r="233" spans="1:13">
      <c r="A233" s="17" t="s">
        <v>572</v>
      </c>
      <c r="B233" s="14" t="s">
        <v>2757</v>
      </c>
      <c r="C233" s="14" t="s">
        <v>2254</v>
      </c>
      <c r="D233" s="14" t="s">
        <v>711</v>
      </c>
      <c r="E233" s="14" t="str">
        <f>"0,6091"</f>
        <v>0,6091</v>
      </c>
      <c r="F233" s="14" t="s">
        <v>720</v>
      </c>
      <c r="G233" s="15" t="s">
        <v>152</v>
      </c>
      <c r="H233" s="15" t="s">
        <v>550</v>
      </c>
      <c r="I233" s="16" t="s">
        <v>351</v>
      </c>
      <c r="J233" s="17"/>
      <c r="K233" s="40" t="str">
        <f>"172,5"</f>
        <v>172,5</v>
      </c>
      <c r="L233" s="17" t="str">
        <f>"105,0697"</f>
        <v>105,0697</v>
      </c>
      <c r="M233" s="14" t="s">
        <v>158</v>
      </c>
    </row>
    <row r="234" spans="1:13">
      <c r="A234" s="17" t="s">
        <v>577</v>
      </c>
      <c r="B234" s="14" t="s">
        <v>2758</v>
      </c>
      <c r="C234" s="14" t="s">
        <v>2759</v>
      </c>
      <c r="D234" s="14" t="s">
        <v>686</v>
      </c>
      <c r="E234" s="14" t="str">
        <f>"0,6113"</f>
        <v>0,6113</v>
      </c>
      <c r="F234" s="14" t="s">
        <v>1238</v>
      </c>
      <c r="G234" s="15" t="s">
        <v>248</v>
      </c>
      <c r="H234" s="16" t="s">
        <v>398</v>
      </c>
      <c r="I234" s="17"/>
      <c r="J234" s="17"/>
      <c r="K234" s="40" t="str">
        <f>"170,0"</f>
        <v>170,0</v>
      </c>
      <c r="L234" s="17" t="str">
        <f>"103,9210"</f>
        <v>103,9210</v>
      </c>
      <c r="M234" s="14" t="s">
        <v>2760</v>
      </c>
    </row>
    <row r="235" spans="1:13">
      <c r="A235" s="17" t="s">
        <v>1810</v>
      </c>
      <c r="B235" s="14" t="s">
        <v>2761</v>
      </c>
      <c r="C235" s="14" t="s">
        <v>2762</v>
      </c>
      <c r="D235" s="14" t="s">
        <v>708</v>
      </c>
      <c r="E235" s="14" t="str">
        <f>"0,6086"</f>
        <v>0,6086</v>
      </c>
      <c r="F235" s="14" t="s">
        <v>2763</v>
      </c>
      <c r="G235" s="15" t="s">
        <v>248</v>
      </c>
      <c r="H235" s="16" t="s">
        <v>351</v>
      </c>
      <c r="I235" s="16" t="s">
        <v>351</v>
      </c>
      <c r="J235" s="17"/>
      <c r="K235" s="40" t="str">
        <f>"170,0"</f>
        <v>170,0</v>
      </c>
      <c r="L235" s="17" t="str">
        <f>"103,4620"</f>
        <v>103,4620</v>
      </c>
      <c r="M235" s="14" t="s">
        <v>158</v>
      </c>
    </row>
    <row r="236" spans="1:13">
      <c r="A236" s="17" t="s">
        <v>1813</v>
      </c>
      <c r="B236" s="14" t="s">
        <v>2764</v>
      </c>
      <c r="C236" s="14" t="s">
        <v>2765</v>
      </c>
      <c r="D236" s="14" t="s">
        <v>1513</v>
      </c>
      <c r="E236" s="14" t="str">
        <f>"0,6166"</f>
        <v>0,6166</v>
      </c>
      <c r="F236" s="14" t="s">
        <v>2766</v>
      </c>
      <c r="G236" s="16" t="s">
        <v>347</v>
      </c>
      <c r="H236" s="16" t="s">
        <v>347</v>
      </c>
      <c r="I236" s="15" t="s">
        <v>347</v>
      </c>
      <c r="J236" s="17"/>
      <c r="K236" s="40" t="str">
        <f>"167,5"</f>
        <v>167,5</v>
      </c>
      <c r="L236" s="17" t="str">
        <f>"103,2805"</f>
        <v>103,2805</v>
      </c>
      <c r="M236" s="14" t="s">
        <v>2767</v>
      </c>
    </row>
    <row r="237" spans="1:13">
      <c r="A237" s="17" t="s">
        <v>1818</v>
      </c>
      <c r="B237" s="14" t="s">
        <v>2148</v>
      </c>
      <c r="C237" s="14" t="s">
        <v>2149</v>
      </c>
      <c r="D237" s="14" t="s">
        <v>1832</v>
      </c>
      <c r="E237" s="14" t="str">
        <f>"0,6106"</f>
        <v>0,6106</v>
      </c>
      <c r="F237" s="14" t="s">
        <v>1254</v>
      </c>
      <c r="G237" s="15" t="s">
        <v>151</v>
      </c>
      <c r="H237" s="15" t="s">
        <v>152</v>
      </c>
      <c r="I237" s="16" t="s">
        <v>248</v>
      </c>
      <c r="J237" s="17"/>
      <c r="K237" s="40" t="str">
        <f>"165,0"</f>
        <v>165,0</v>
      </c>
      <c r="L237" s="17" t="str">
        <f>"100,7490"</f>
        <v>100,7490</v>
      </c>
      <c r="M237" s="14" t="s">
        <v>158</v>
      </c>
    </row>
    <row r="238" spans="1:13">
      <c r="A238" s="17" t="s">
        <v>2618</v>
      </c>
      <c r="B238" s="14" t="s">
        <v>688</v>
      </c>
      <c r="C238" s="14" t="s">
        <v>689</v>
      </c>
      <c r="D238" s="14" t="s">
        <v>677</v>
      </c>
      <c r="E238" s="14" t="str">
        <f>"0,6098"</f>
        <v>0,6098</v>
      </c>
      <c r="F238" s="14" t="s">
        <v>690</v>
      </c>
      <c r="G238" s="15" t="s">
        <v>205</v>
      </c>
      <c r="H238" s="15" t="s">
        <v>152</v>
      </c>
      <c r="I238" s="16" t="s">
        <v>248</v>
      </c>
      <c r="J238" s="17"/>
      <c r="K238" s="40" t="str">
        <f>"165,0"</f>
        <v>165,0</v>
      </c>
      <c r="L238" s="17" t="str">
        <f>"100,6170"</f>
        <v>100,6170</v>
      </c>
      <c r="M238" s="14" t="s">
        <v>691</v>
      </c>
    </row>
    <row r="239" spans="1:13">
      <c r="A239" s="17" t="s">
        <v>2768</v>
      </c>
      <c r="B239" s="14" t="s">
        <v>2769</v>
      </c>
      <c r="C239" s="14" t="s">
        <v>2770</v>
      </c>
      <c r="D239" s="14" t="s">
        <v>673</v>
      </c>
      <c r="E239" s="14" t="str">
        <f>"0,6136"</f>
        <v>0,6136</v>
      </c>
      <c r="F239" s="14" t="s">
        <v>2771</v>
      </c>
      <c r="G239" s="15" t="s">
        <v>58</v>
      </c>
      <c r="H239" s="15" t="s">
        <v>60</v>
      </c>
      <c r="I239" s="15" t="s">
        <v>205</v>
      </c>
      <c r="J239" s="17"/>
      <c r="K239" s="40" t="str">
        <f>"155,0"</f>
        <v>155,0</v>
      </c>
      <c r="L239" s="17" t="str">
        <f>"95,1080"</f>
        <v>95,1080</v>
      </c>
      <c r="M239" s="14" t="s">
        <v>158</v>
      </c>
    </row>
    <row r="240" spans="1:13">
      <c r="A240" s="17" t="s">
        <v>2772</v>
      </c>
      <c r="B240" s="14" t="s">
        <v>2773</v>
      </c>
      <c r="C240" s="14" t="s">
        <v>2774</v>
      </c>
      <c r="D240" s="14" t="s">
        <v>1174</v>
      </c>
      <c r="E240" s="14" t="str">
        <f>"0,6123"</f>
        <v>0,6123</v>
      </c>
      <c r="F240" s="14" t="s">
        <v>669</v>
      </c>
      <c r="G240" s="15" t="s">
        <v>205</v>
      </c>
      <c r="H240" s="16" t="s">
        <v>427</v>
      </c>
      <c r="I240" s="16" t="s">
        <v>427</v>
      </c>
      <c r="J240" s="17"/>
      <c r="K240" s="40" t="str">
        <f>"155,0"</f>
        <v>155,0</v>
      </c>
      <c r="L240" s="17" t="str">
        <f>"94,9065"</f>
        <v>94,9065</v>
      </c>
      <c r="M240" s="14" t="s">
        <v>158</v>
      </c>
    </row>
    <row r="241" spans="1:13">
      <c r="A241" s="17" t="s">
        <v>2775</v>
      </c>
      <c r="B241" s="14" t="s">
        <v>2776</v>
      </c>
      <c r="C241" s="14" t="s">
        <v>2777</v>
      </c>
      <c r="D241" s="14" t="s">
        <v>704</v>
      </c>
      <c r="E241" s="14" t="str">
        <f>"0,6191"</f>
        <v>0,6191</v>
      </c>
      <c r="F241" s="14" t="s">
        <v>2778</v>
      </c>
      <c r="G241" s="15" t="s">
        <v>58</v>
      </c>
      <c r="H241" s="15" t="s">
        <v>59</v>
      </c>
      <c r="I241" s="15" t="s">
        <v>342</v>
      </c>
      <c r="J241" s="17"/>
      <c r="K241" s="40" t="str">
        <f>"152,5"</f>
        <v>152,5</v>
      </c>
      <c r="L241" s="17" t="str">
        <f>"94,4127"</f>
        <v>94,4127</v>
      </c>
      <c r="M241" s="14" t="s">
        <v>158</v>
      </c>
    </row>
    <row r="242" spans="1:13">
      <c r="A242" s="17" t="s">
        <v>2779</v>
      </c>
      <c r="B242" s="14" t="s">
        <v>2780</v>
      </c>
      <c r="C242" s="14" t="s">
        <v>2781</v>
      </c>
      <c r="D242" s="14" t="s">
        <v>1521</v>
      </c>
      <c r="E242" s="14" t="str">
        <f>"0,6172"</f>
        <v>0,6172</v>
      </c>
      <c r="F242" s="14" t="s">
        <v>2782</v>
      </c>
      <c r="G242" s="15" t="s">
        <v>58</v>
      </c>
      <c r="H242" s="15" t="s">
        <v>60</v>
      </c>
      <c r="I242" s="16" t="s">
        <v>427</v>
      </c>
      <c r="J242" s="17"/>
      <c r="K242" s="40" t="str">
        <f>"150,0"</f>
        <v>150,0</v>
      </c>
      <c r="L242" s="17" t="str">
        <f>"92,5800"</f>
        <v>92,5800</v>
      </c>
      <c r="M242" s="14" t="s">
        <v>158</v>
      </c>
    </row>
    <row r="243" spans="1:13">
      <c r="A243" s="17" t="s">
        <v>2783</v>
      </c>
      <c r="B243" s="14" t="s">
        <v>2784</v>
      </c>
      <c r="C243" s="14" t="s">
        <v>2785</v>
      </c>
      <c r="D243" s="14" t="s">
        <v>719</v>
      </c>
      <c r="E243" s="14" t="str">
        <f>"0,6150"</f>
        <v>0,6150</v>
      </c>
      <c r="F243" s="14" t="s">
        <v>2524</v>
      </c>
      <c r="G243" s="15" t="s">
        <v>58</v>
      </c>
      <c r="H243" s="16" t="s">
        <v>427</v>
      </c>
      <c r="I243" s="16" t="s">
        <v>427</v>
      </c>
      <c r="J243" s="17"/>
      <c r="K243" s="40" t="str">
        <f>"140,0"</f>
        <v>140,0</v>
      </c>
      <c r="L243" s="17" t="str">
        <f>"86,1000"</f>
        <v>86,1000</v>
      </c>
      <c r="M243" s="14" t="s">
        <v>158</v>
      </c>
    </row>
    <row r="244" spans="1:13">
      <c r="A244" s="17" t="s">
        <v>2786</v>
      </c>
      <c r="B244" s="14" t="s">
        <v>2787</v>
      </c>
      <c r="C244" s="14" t="s">
        <v>2788</v>
      </c>
      <c r="D244" s="14" t="s">
        <v>1201</v>
      </c>
      <c r="E244" s="14" t="str">
        <f>"0,6126"</f>
        <v>0,6126</v>
      </c>
      <c r="F244" s="14" t="s">
        <v>2328</v>
      </c>
      <c r="G244" s="15" t="s">
        <v>58</v>
      </c>
      <c r="H244" s="16" t="s">
        <v>59</v>
      </c>
      <c r="I244" s="16" t="s">
        <v>59</v>
      </c>
      <c r="J244" s="17"/>
      <c r="K244" s="40" t="str">
        <f>"140,0"</f>
        <v>140,0</v>
      </c>
      <c r="L244" s="17" t="str">
        <f>"85,7640"</f>
        <v>85,7640</v>
      </c>
      <c r="M244" s="14" t="s">
        <v>158</v>
      </c>
    </row>
    <row r="245" spans="1:13">
      <c r="A245" s="17" t="s">
        <v>2789</v>
      </c>
      <c r="B245" s="14" t="s">
        <v>1526</v>
      </c>
      <c r="C245" s="14" t="s">
        <v>1527</v>
      </c>
      <c r="D245" s="14" t="s">
        <v>1124</v>
      </c>
      <c r="E245" s="14" t="str">
        <f>"0,6197"</f>
        <v>0,6197</v>
      </c>
      <c r="F245" s="14" t="s">
        <v>426</v>
      </c>
      <c r="G245" s="15" t="s">
        <v>209</v>
      </c>
      <c r="H245" s="16" t="s">
        <v>58</v>
      </c>
      <c r="I245" s="16" t="s">
        <v>58</v>
      </c>
      <c r="J245" s="17"/>
      <c r="K245" s="40" t="str">
        <f>"135,0"</f>
        <v>135,0</v>
      </c>
      <c r="L245" s="17" t="str">
        <f>"83,6595"</f>
        <v>83,6595</v>
      </c>
      <c r="M245" s="14" t="s">
        <v>158</v>
      </c>
    </row>
    <row r="246" spans="1:13">
      <c r="A246" s="17" t="s">
        <v>92</v>
      </c>
      <c r="B246" s="14" t="s">
        <v>2790</v>
      </c>
      <c r="C246" s="14" t="s">
        <v>2791</v>
      </c>
      <c r="D246" s="14" t="s">
        <v>1521</v>
      </c>
      <c r="E246" s="14" t="str">
        <f>"0,6172"</f>
        <v>0,6172</v>
      </c>
      <c r="F246" s="14" t="s">
        <v>2792</v>
      </c>
      <c r="G246" s="16" t="s">
        <v>351</v>
      </c>
      <c r="H246" s="16" t="s">
        <v>351</v>
      </c>
      <c r="I246" s="16" t="s">
        <v>351</v>
      </c>
      <c r="J246" s="17"/>
      <c r="K246" s="40">
        <v>0</v>
      </c>
      <c r="L246" s="17" t="str">
        <f>"0,0000"</f>
        <v>0,0000</v>
      </c>
      <c r="M246" s="14" t="s">
        <v>1242</v>
      </c>
    </row>
    <row r="247" spans="1:13">
      <c r="A247" s="17" t="s">
        <v>92</v>
      </c>
      <c r="B247" s="14" t="s">
        <v>2793</v>
      </c>
      <c r="C247" s="14" t="s">
        <v>2794</v>
      </c>
      <c r="D247" s="14" t="s">
        <v>2795</v>
      </c>
      <c r="E247" s="14" t="str">
        <f>"0,6161"</f>
        <v>0,6161</v>
      </c>
      <c r="F247" s="14" t="s">
        <v>91</v>
      </c>
      <c r="G247" s="16" t="s">
        <v>368</v>
      </c>
      <c r="H247" s="16" t="s">
        <v>368</v>
      </c>
      <c r="I247" s="17"/>
      <c r="J247" s="17"/>
      <c r="K247" s="40">
        <v>0</v>
      </c>
      <c r="L247" s="17" t="str">
        <f>"0,0000"</f>
        <v>0,0000</v>
      </c>
      <c r="M247" s="14" t="s">
        <v>158</v>
      </c>
    </row>
    <row r="248" spans="1:13">
      <c r="A248" s="17" t="s">
        <v>92</v>
      </c>
      <c r="B248" s="14" t="s">
        <v>2796</v>
      </c>
      <c r="C248" s="14" t="s">
        <v>2797</v>
      </c>
      <c r="D248" s="14" t="s">
        <v>1201</v>
      </c>
      <c r="E248" s="14" t="str">
        <f>"0,6126"</f>
        <v>0,6126</v>
      </c>
      <c r="F248" s="14" t="s">
        <v>2128</v>
      </c>
      <c r="G248" s="16" t="s">
        <v>351</v>
      </c>
      <c r="H248" s="16" t="s">
        <v>351</v>
      </c>
      <c r="I248" s="16" t="s">
        <v>351</v>
      </c>
      <c r="J248" s="17"/>
      <c r="K248" s="40">
        <v>0</v>
      </c>
      <c r="L248" s="17" t="str">
        <f>"0,0000"</f>
        <v>0,0000</v>
      </c>
      <c r="M248" s="14" t="s">
        <v>158</v>
      </c>
    </row>
    <row r="249" spans="1:13">
      <c r="A249" s="17" t="s">
        <v>92</v>
      </c>
      <c r="B249" s="14" t="s">
        <v>2798</v>
      </c>
      <c r="C249" s="14" t="s">
        <v>2799</v>
      </c>
      <c r="D249" s="14" t="s">
        <v>686</v>
      </c>
      <c r="E249" s="14" t="str">
        <f>"0,6113"</f>
        <v>0,6113</v>
      </c>
      <c r="F249" s="14" t="s">
        <v>633</v>
      </c>
      <c r="G249" s="16" t="s">
        <v>368</v>
      </c>
      <c r="H249" s="16" t="s">
        <v>368</v>
      </c>
      <c r="I249" s="17"/>
      <c r="J249" s="17"/>
      <c r="K249" s="40">
        <v>0</v>
      </c>
      <c r="L249" s="17" t="str">
        <f>"0,0000"</f>
        <v>0,0000</v>
      </c>
      <c r="M249" s="14" t="s">
        <v>158</v>
      </c>
    </row>
    <row r="250" spans="1:13">
      <c r="A250" s="17" t="s">
        <v>15</v>
      </c>
      <c r="B250" s="14" t="s">
        <v>2800</v>
      </c>
      <c r="C250" s="14" t="s">
        <v>2801</v>
      </c>
      <c r="D250" s="14" t="s">
        <v>694</v>
      </c>
      <c r="E250" s="14" t="str">
        <f>"0,6134"</f>
        <v>0,6134</v>
      </c>
      <c r="F250" s="14" t="s">
        <v>2802</v>
      </c>
      <c r="G250" s="15" t="s">
        <v>398</v>
      </c>
      <c r="H250" s="15" t="s">
        <v>368</v>
      </c>
      <c r="I250" s="15" t="s">
        <v>453</v>
      </c>
      <c r="J250" s="17"/>
      <c r="K250" s="40" t="str">
        <f>"187,5"</f>
        <v>187,5</v>
      </c>
      <c r="L250" s="17" t="str">
        <f>"118,2328"</f>
        <v>118,2328</v>
      </c>
      <c r="M250" s="14" t="s">
        <v>2803</v>
      </c>
    </row>
    <row r="251" spans="1:13">
      <c r="A251" s="17" t="s">
        <v>62</v>
      </c>
      <c r="B251" s="14" t="s">
        <v>2804</v>
      </c>
      <c r="C251" s="14" t="s">
        <v>2805</v>
      </c>
      <c r="D251" s="14" t="s">
        <v>708</v>
      </c>
      <c r="E251" s="14" t="str">
        <f>"0,6086"</f>
        <v>0,6086</v>
      </c>
      <c r="F251" s="14" t="s">
        <v>232</v>
      </c>
      <c r="G251" s="15" t="s">
        <v>458</v>
      </c>
      <c r="H251" s="16" t="s">
        <v>453</v>
      </c>
      <c r="I251" s="15" t="s">
        <v>453</v>
      </c>
      <c r="J251" s="16" t="s">
        <v>2806</v>
      </c>
      <c r="K251" s="40" t="str">
        <f>"187,5"</f>
        <v>187,5</v>
      </c>
      <c r="L251" s="17" t="str">
        <f>"119,1335"</f>
        <v>119,1335</v>
      </c>
      <c r="M251" s="14" t="s">
        <v>2807</v>
      </c>
    </row>
    <row r="252" spans="1:13">
      <c r="A252" s="17" t="s">
        <v>73</v>
      </c>
      <c r="B252" s="14" t="s">
        <v>2808</v>
      </c>
      <c r="C252" s="14" t="s">
        <v>2809</v>
      </c>
      <c r="D252" s="14" t="s">
        <v>1838</v>
      </c>
      <c r="E252" s="14" t="str">
        <f>"0,6331"</f>
        <v>0,6331</v>
      </c>
      <c r="F252" s="14" t="s">
        <v>2810</v>
      </c>
      <c r="G252" s="15" t="s">
        <v>347</v>
      </c>
      <c r="H252" s="16" t="s">
        <v>351</v>
      </c>
      <c r="I252" s="16" t="s">
        <v>351</v>
      </c>
      <c r="J252" s="17"/>
      <c r="K252" s="40" t="str">
        <f>"167,5"</f>
        <v>167,5</v>
      </c>
      <c r="L252" s="17" t="str">
        <f>"109,0135"</f>
        <v>109,0135</v>
      </c>
      <c r="M252" s="14" t="s">
        <v>2431</v>
      </c>
    </row>
    <row r="253" spans="1:13">
      <c r="A253" s="17" t="s">
        <v>75</v>
      </c>
      <c r="B253" s="14" t="s">
        <v>2811</v>
      </c>
      <c r="C253" s="14" t="s">
        <v>2812</v>
      </c>
      <c r="D253" s="14" t="s">
        <v>681</v>
      </c>
      <c r="E253" s="14" t="str">
        <f>"0,6093"</f>
        <v>0,6093</v>
      </c>
      <c r="F253" s="14" t="s">
        <v>2813</v>
      </c>
      <c r="G253" s="15" t="s">
        <v>427</v>
      </c>
      <c r="H253" s="15" t="s">
        <v>347</v>
      </c>
      <c r="I253" s="16" t="s">
        <v>550</v>
      </c>
      <c r="J253" s="17"/>
      <c r="K253" s="40" t="str">
        <f>"167,5"</f>
        <v>167,5</v>
      </c>
      <c r="L253" s="17" t="str">
        <f>"110,0183"</f>
        <v>110,0183</v>
      </c>
      <c r="M253" s="14" t="s">
        <v>158</v>
      </c>
    </row>
    <row r="254" spans="1:13">
      <c r="A254" s="17" t="s">
        <v>87</v>
      </c>
      <c r="B254" s="14" t="s">
        <v>2814</v>
      </c>
      <c r="C254" s="14" t="s">
        <v>2815</v>
      </c>
      <c r="D254" s="14" t="s">
        <v>2816</v>
      </c>
      <c r="E254" s="14" t="str">
        <f>"0,6186"</f>
        <v>0,6186</v>
      </c>
      <c r="F254" s="14" t="s">
        <v>758</v>
      </c>
      <c r="G254" s="15" t="s">
        <v>151</v>
      </c>
      <c r="H254" s="15" t="s">
        <v>152</v>
      </c>
      <c r="I254" s="16" t="s">
        <v>248</v>
      </c>
      <c r="J254" s="17"/>
      <c r="K254" s="40" t="str">
        <f>"165,0"</f>
        <v>165,0</v>
      </c>
      <c r="L254" s="17" t="str">
        <f>"106,5600"</f>
        <v>106,5600</v>
      </c>
      <c r="M254" s="14" t="s">
        <v>759</v>
      </c>
    </row>
    <row r="255" spans="1:13">
      <c r="A255" s="17" t="s">
        <v>168</v>
      </c>
      <c r="B255" s="14" t="s">
        <v>2148</v>
      </c>
      <c r="C255" s="14" t="s">
        <v>2158</v>
      </c>
      <c r="D255" s="14" t="s">
        <v>1832</v>
      </c>
      <c r="E255" s="14" t="str">
        <f>"0,6106"</f>
        <v>0,6106</v>
      </c>
      <c r="F255" s="14" t="s">
        <v>1254</v>
      </c>
      <c r="G255" s="15" t="s">
        <v>151</v>
      </c>
      <c r="H255" s="15" t="s">
        <v>152</v>
      </c>
      <c r="I255" s="16" t="s">
        <v>248</v>
      </c>
      <c r="J255" s="17"/>
      <c r="K255" s="40" t="str">
        <f>"165,0"</f>
        <v>165,0</v>
      </c>
      <c r="L255" s="17" t="str">
        <f>"106,7939"</f>
        <v>106,7939</v>
      </c>
      <c r="M255" s="14" t="s">
        <v>158</v>
      </c>
    </row>
    <row r="256" spans="1:13">
      <c r="A256" s="17" t="s">
        <v>172</v>
      </c>
      <c r="B256" s="14" t="s">
        <v>2817</v>
      </c>
      <c r="C256" s="14" t="s">
        <v>2818</v>
      </c>
      <c r="D256" s="14" t="s">
        <v>2819</v>
      </c>
      <c r="E256" s="14" t="str">
        <f>"0,6121"</f>
        <v>0,6121</v>
      </c>
      <c r="F256" s="14" t="s">
        <v>227</v>
      </c>
      <c r="G256" s="15" t="s">
        <v>59</v>
      </c>
      <c r="H256" s="15" t="s">
        <v>205</v>
      </c>
      <c r="I256" s="15" t="s">
        <v>427</v>
      </c>
      <c r="J256" s="17"/>
      <c r="K256" s="40" t="str">
        <f>"162,5"</f>
        <v>162,5</v>
      </c>
      <c r="L256" s="17" t="str">
        <f>"110,8054"</f>
        <v>110,8054</v>
      </c>
      <c r="M256" s="14" t="s">
        <v>158</v>
      </c>
    </row>
    <row r="257" spans="1:13">
      <c r="A257" s="17" t="s">
        <v>178</v>
      </c>
      <c r="B257" s="14" t="s">
        <v>2820</v>
      </c>
      <c r="C257" s="14" t="s">
        <v>2821</v>
      </c>
      <c r="D257" s="14" t="s">
        <v>698</v>
      </c>
      <c r="E257" s="14" t="str">
        <f>"0,6111"</f>
        <v>0,6111</v>
      </c>
      <c r="F257" s="14" t="s">
        <v>2822</v>
      </c>
      <c r="G257" s="15" t="s">
        <v>205</v>
      </c>
      <c r="H257" s="15" t="s">
        <v>427</v>
      </c>
      <c r="I257" s="16" t="s">
        <v>347</v>
      </c>
      <c r="J257" s="17"/>
      <c r="K257" s="40" t="str">
        <f>"162,5"</f>
        <v>162,5</v>
      </c>
      <c r="L257" s="17" t="str">
        <f>"105,2620"</f>
        <v>105,2620</v>
      </c>
      <c r="M257" s="14" t="s">
        <v>2823</v>
      </c>
    </row>
    <row r="258" spans="1:13">
      <c r="A258" s="17" t="s">
        <v>183</v>
      </c>
      <c r="B258" s="14" t="s">
        <v>2824</v>
      </c>
      <c r="C258" s="14" t="s">
        <v>2825</v>
      </c>
      <c r="D258" s="14" t="s">
        <v>1517</v>
      </c>
      <c r="E258" s="14" t="str">
        <f>"0,6194"</f>
        <v>0,6194</v>
      </c>
      <c r="F258" s="14" t="s">
        <v>91</v>
      </c>
      <c r="G258" s="15" t="s">
        <v>205</v>
      </c>
      <c r="H258" s="16" t="s">
        <v>152</v>
      </c>
      <c r="I258" s="16" t="s">
        <v>152</v>
      </c>
      <c r="J258" s="17"/>
      <c r="K258" s="40" t="str">
        <f>"155,0"</f>
        <v>155,0</v>
      </c>
      <c r="L258" s="17" t="str">
        <f>"96,4870"</f>
        <v>96,4870</v>
      </c>
      <c r="M258" s="14" t="s">
        <v>2826</v>
      </c>
    </row>
    <row r="259" spans="1:13">
      <c r="A259" s="17" t="s">
        <v>15</v>
      </c>
      <c r="B259" s="14" t="s">
        <v>2749</v>
      </c>
      <c r="C259" s="14" t="s">
        <v>2827</v>
      </c>
      <c r="D259" s="14" t="s">
        <v>698</v>
      </c>
      <c r="E259" s="14" t="str">
        <f>"0,6111"</f>
        <v>0,6111</v>
      </c>
      <c r="F259" s="14" t="s">
        <v>1451</v>
      </c>
      <c r="G259" s="15" t="s">
        <v>248</v>
      </c>
      <c r="H259" s="15" t="s">
        <v>398</v>
      </c>
      <c r="I259" s="15" t="s">
        <v>368</v>
      </c>
      <c r="J259" s="17"/>
      <c r="K259" s="40" t="str">
        <f>"185,0"</f>
        <v>185,0</v>
      </c>
      <c r="L259" s="17" t="str">
        <f>"130,0115"</f>
        <v>130,0115</v>
      </c>
      <c r="M259" s="14" t="s">
        <v>158</v>
      </c>
    </row>
    <row r="260" spans="1:13">
      <c r="A260" s="17" t="s">
        <v>62</v>
      </c>
      <c r="B260" s="14" t="s">
        <v>2828</v>
      </c>
      <c r="C260" s="14" t="s">
        <v>2829</v>
      </c>
      <c r="D260" s="14" t="s">
        <v>711</v>
      </c>
      <c r="E260" s="14" t="str">
        <f>"0,6091"</f>
        <v>0,6091</v>
      </c>
      <c r="F260" s="14" t="s">
        <v>2090</v>
      </c>
      <c r="G260" s="15" t="s">
        <v>60</v>
      </c>
      <c r="H260" s="15" t="s">
        <v>205</v>
      </c>
      <c r="I260" s="15" t="s">
        <v>151</v>
      </c>
      <c r="J260" s="17"/>
      <c r="K260" s="40" t="str">
        <f>"160,0"</f>
        <v>160,0</v>
      </c>
      <c r="L260" s="17" t="str">
        <f>"124,0615"</f>
        <v>124,0615</v>
      </c>
      <c r="M260" s="14" t="s">
        <v>2830</v>
      </c>
    </row>
    <row r="261" spans="1:13">
      <c r="A261" s="17" t="s">
        <v>73</v>
      </c>
      <c r="B261" s="14" t="s">
        <v>713</v>
      </c>
      <c r="C261" s="14" t="s">
        <v>714</v>
      </c>
      <c r="D261" s="14" t="s">
        <v>715</v>
      </c>
      <c r="E261" s="14" t="str">
        <f>"0,6217"</f>
        <v>0,6217</v>
      </c>
      <c r="F261" s="14" t="s">
        <v>594</v>
      </c>
      <c r="G261" s="15" t="s">
        <v>60</v>
      </c>
      <c r="H261" s="16" t="s">
        <v>427</v>
      </c>
      <c r="I261" s="16" t="s">
        <v>427</v>
      </c>
      <c r="J261" s="17"/>
      <c r="K261" s="40" t="str">
        <f>"150,0"</f>
        <v>150,0</v>
      </c>
      <c r="L261" s="17" t="str">
        <f>"118,7136"</f>
        <v>118,7136</v>
      </c>
      <c r="M261" s="14" t="s">
        <v>716</v>
      </c>
    </row>
    <row r="262" spans="1:13">
      <c r="A262" s="17" t="s">
        <v>15</v>
      </c>
      <c r="B262" s="14" t="s">
        <v>2831</v>
      </c>
      <c r="C262" s="14" t="s">
        <v>2832</v>
      </c>
      <c r="D262" s="14" t="s">
        <v>1197</v>
      </c>
      <c r="E262" s="14" t="str">
        <f>"0,6139"</f>
        <v>0,6139</v>
      </c>
      <c r="F262" s="14" t="s">
        <v>2128</v>
      </c>
      <c r="G262" s="15" t="s">
        <v>71</v>
      </c>
      <c r="H262" s="15" t="s">
        <v>209</v>
      </c>
      <c r="I262" s="16" t="s">
        <v>58</v>
      </c>
      <c r="J262" s="17"/>
      <c r="K262" s="40" t="str">
        <f>"135,0"</f>
        <v>135,0</v>
      </c>
      <c r="L262" s="17" t="str">
        <f>"116,8559"</f>
        <v>116,8559</v>
      </c>
      <c r="M262" s="14" t="s">
        <v>158</v>
      </c>
    </row>
    <row r="263" spans="1:13">
      <c r="A263" s="17" t="s">
        <v>62</v>
      </c>
      <c r="B263" s="14" t="s">
        <v>2833</v>
      </c>
      <c r="C263" s="14" t="s">
        <v>2834</v>
      </c>
      <c r="D263" s="14" t="s">
        <v>2835</v>
      </c>
      <c r="E263" s="14" t="str">
        <f>"0,6370"</f>
        <v>0,6370</v>
      </c>
      <c r="F263" s="14" t="s">
        <v>633</v>
      </c>
      <c r="G263" s="15" t="s">
        <v>85</v>
      </c>
      <c r="H263" s="15" t="s">
        <v>157</v>
      </c>
      <c r="I263" s="16" t="s">
        <v>209</v>
      </c>
      <c r="J263" s="17"/>
      <c r="K263" s="40" t="str">
        <f>"132,5"</f>
        <v>132,5</v>
      </c>
      <c r="L263" s="17" t="str">
        <f>"129,3890"</f>
        <v>129,3890</v>
      </c>
      <c r="M263" s="14" t="s">
        <v>158</v>
      </c>
    </row>
    <row r="264" spans="1:13">
      <c r="A264" s="17" t="s">
        <v>73</v>
      </c>
      <c r="B264" s="14" t="s">
        <v>2836</v>
      </c>
      <c r="C264" s="14" t="s">
        <v>2837</v>
      </c>
      <c r="D264" s="14" t="s">
        <v>2838</v>
      </c>
      <c r="E264" s="14" t="str">
        <f>"0,6345"</f>
        <v>0,6345</v>
      </c>
      <c r="F264" s="14" t="s">
        <v>91</v>
      </c>
      <c r="G264" s="15" t="s">
        <v>84</v>
      </c>
      <c r="H264" s="15" t="s">
        <v>162</v>
      </c>
      <c r="I264" s="16" t="s">
        <v>145</v>
      </c>
      <c r="J264" s="17"/>
      <c r="K264" s="40" t="str">
        <f>"122,5"</f>
        <v>122,5</v>
      </c>
      <c r="L264" s="17" t="str">
        <f>"111,9258"</f>
        <v>111,9258</v>
      </c>
      <c r="M264" s="14" t="s">
        <v>158</v>
      </c>
    </row>
    <row r="265" spans="1:13">
      <c r="A265" s="20" t="s">
        <v>15</v>
      </c>
      <c r="B265" s="18" t="s">
        <v>2839</v>
      </c>
      <c r="C265" s="18" t="s">
        <v>2840</v>
      </c>
      <c r="D265" s="18" t="s">
        <v>1213</v>
      </c>
      <c r="E265" s="18" t="str">
        <f>"0,6250"</f>
        <v>0,6250</v>
      </c>
      <c r="F265" s="18" t="s">
        <v>1214</v>
      </c>
      <c r="G265" s="19" t="s">
        <v>209</v>
      </c>
      <c r="H265" s="19" t="s">
        <v>58</v>
      </c>
      <c r="I265" s="22" t="s">
        <v>346</v>
      </c>
      <c r="J265" s="20"/>
      <c r="K265" s="38" t="str">
        <f>"140,0"</f>
        <v>140,0</v>
      </c>
      <c r="L265" s="20" t="str">
        <f>"155,7500"</f>
        <v>155,7500</v>
      </c>
      <c r="M265" s="18" t="s">
        <v>158</v>
      </c>
    </row>
    <row r="266" spans="1:13">
      <c r="B266" s="5" t="s">
        <v>40</v>
      </c>
    </row>
    <row r="267" spans="1:13" ht="15.95">
      <c r="A267" s="102" t="s">
        <v>724</v>
      </c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</row>
    <row r="268" spans="1:13">
      <c r="A268" s="13" t="s">
        <v>15</v>
      </c>
      <c r="B268" s="11" t="s">
        <v>2841</v>
      </c>
      <c r="C268" s="11" t="s">
        <v>2842</v>
      </c>
      <c r="D268" s="11" t="s">
        <v>2843</v>
      </c>
      <c r="E268" s="11" t="str">
        <f>"0,5986"</f>
        <v>0,5986</v>
      </c>
      <c r="F268" s="11" t="s">
        <v>1291</v>
      </c>
      <c r="G268" s="12" t="s">
        <v>392</v>
      </c>
      <c r="H268" s="12" t="s">
        <v>383</v>
      </c>
      <c r="I268" s="12" t="s">
        <v>2806</v>
      </c>
      <c r="J268" s="13"/>
      <c r="K268" s="37" t="str">
        <f>"201,0"</f>
        <v>201,0</v>
      </c>
      <c r="L268" s="13" t="str">
        <f>"120,3186"</f>
        <v>120,3186</v>
      </c>
      <c r="M268" s="11" t="s">
        <v>158</v>
      </c>
    </row>
    <row r="269" spans="1:13">
      <c r="A269" s="17" t="s">
        <v>62</v>
      </c>
      <c r="B269" s="14" t="s">
        <v>2844</v>
      </c>
      <c r="C269" s="14" t="s">
        <v>501</v>
      </c>
      <c r="D269" s="14" t="s">
        <v>2048</v>
      </c>
      <c r="E269" s="14" t="str">
        <f>"0,5924"</f>
        <v>0,5924</v>
      </c>
      <c r="F269" s="14" t="s">
        <v>91</v>
      </c>
      <c r="G269" s="15" t="s">
        <v>205</v>
      </c>
      <c r="H269" s="15" t="s">
        <v>347</v>
      </c>
      <c r="I269" s="15" t="s">
        <v>248</v>
      </c>
      <c r="J269" s="17"/>
      <c r="K269" s="40" t="str">
        <f>"170,0"</f>
        <v>170,0</v>
      </c>
      <c r="L269" s="17" t="str">
        <f>"100,7080"</f>
        <v>100,7080</v>
      </c>
      <c r="M269" s="14" t="s">
        <v>158</v>
      </c>
    </row>
    <row r="270" spans="1:13">
      <c r="A270" s="17" t="s">
        <v>15</v>
      </c>
      <c r="B270" s="14" t="s">
        <v>2845</v>
      </c>
      <c r="C270" s="14" t="s">
        <v>2846</v>
      </c>
      <c r="D270" s="14" t="s">
        <v>753</v>
      </c>
      <c r="E270" s="14" t="str">
        <f>"0,5921"</f>
        <v>0,5921</v>
      </c>
      <c r="F270" s="14" t="s">
        <v>2847</v>
      </c>
      <c r="G270" s="15" t="s">
        <v>441</v>
      </c>
      <c r="H270" s="15" t="s">
        <v>507</v>
      </c>
      <c r="I270" s="16" t="s">
        <v>508</v>
      </c>
      <c r="J270" s="17"/>
      <c r="K270" s="40" t="str">
        <f>"227,5"</f>
        <v>227,5</v>
      </c>
      <c r="L270" s="17" t="str">
        <f>"134,7028"</f>
        <v>134,7028</v>
      </c>
      <c r="M270" s="14" t="s">
        <v>158</v>
      </c>
    </row>
    <row r="271" spans="1:13">
      <c r="A271" s="17" t="s">
        <v>62</v>
      </c>
      <c r="B271" s="14" t="s">
        <v>2848</v>
      </c>
      <c r="C271" s="14" t="s">
        <v>2849</v>
      </c>
      <c r="D271" s="14" t="s">
        <v>766</v>
      </c>
      <c r="E271" s="14" t="str">
        <f>"0,5914"</f>
        <v>0,5914</v>
      </c>
      <c r="F271" s="14" t="s">
        <v>2850</v>
      </c>
      <c r="G271" s="15" t="s">
        <v>442</v>
      </c>
      <c r="H271" s="16" t="s">
        <v>508</v>
      </c>
      <c r="I271" s="16" t="s">
        <v>508</v>
      </c>
      <c r="J271" s="17"/>
      <c r="K271" s="40" t="str">
        <f>"225,0"</f>
        <v>225,0</v>
      </c>
      <c r="L271" s="17" t="str">
        <f>"133,0650"</f>
        <v>133,0650</v>
      </c>
      <c r="M271" s="14" t="s">
        <v>2851</v>
      </c>
    </row>
    <row r="272" spans="1:13">
      <c r="A272" s="17" t="s">
        <v>73</v>
      </c>
      <c r="B272" s="14" t="s">
        <v>2852</v>
      </c>
      <c r="C272" s="14" t="s">
        <v>2853</v>
      </c>
      <c r="D272" s="14" t="s">
        <v>1228</v>
      </c>
      <c r="E272" s="14" t="str">
        <f>"0,5917"</f>
        <v>0,5917</v>
      </c>
      <c r="F272" s="14" t="s">
        <v>1651</v>
      </c>
      <c r="G272" s="15" t="s">
        <v>399</v>
      </c>
      <c r="H272" s="15" t="s">
        <v>384</v>
      </c>
      <c r="I272" s="16" t="s">
        <v>436</v>
      </c>
      <c r="J272" s="17"/>
      <c r="K272" s="40" t="str">
        <f>"210,0"</f>
        <v>210,0</v>
      </c>
      <c r="L272" s="17" t="str">
        <f>"124,2570"</f>
        <v>124,2570</v>
      </c>
      <c r="M272" s="14" t="s">
        <v>2830</v>
      </c>
    </row>
    <row r="273" spans="1:13">
      <c r="A273" s="17" t="s">
        <v>75</v>
      </c>
      <c r="B273" s="14" t="s">
        <v>2854</v>
      </c>
      <c r="C273" s="14" t="s">
        <v>2855</v>
      </c>
      <c r="D273" s="14" t="s">
        <v>2180</v>
      </c>
      <c r="E273" s="14" t="str">
        <f>"0,6006"</f>
        <v>0,6006</v>
      </c>
      <c r="F273" s="14" t="s">
        <v>602</v>
      </c>
      <c r="G273" s="15" t="s">
        <v>374</v>
      </c>
      <c r="H273" s="16" t="s">
        <v>399</v>
      </c>
      <c r="I273" s="16" t="s">
        <v>384</v>
      </c>
      <c r="J273" s="17"/>
      <c r="K273" s="40" t="str">
        <f>"200,0"</f>
        <v>200,0</v>
      </c>
      <c r="L273" s="17" t="str">
        <f>"120,1200"</f>
        <v>120,1200</v>
      </c>
      <c r="M273" s="14" t="s">
        <v>158</v>
      </c>
    </row>
    <row r="274" spans="1:13">
      <c r="A274" s="17" t="s">
        <v>87</v>
      </c>
      <c r="B274" s="14" t="s">
        <v>2856</v>
      </c>
      <c r="C274" s="14" t="s">
        <v>2857</v>
      </c>
      <c r="D274" s="14" t="s">
        <v>1249</v>
      </c>
      <c r="E274" s="14" t="str">
        <f>"0,5902"</f>
        <v>0,5902</v>
      </c>
      <c r="F274" s="14" t="s">
        <v>91</v>
      </c>
      <c r="G274" s="15" t="s">
        <v>392</v>
      </c>
      <c r="H274" s="16" t="s">
        <v>374</v>
      </c>
      <c r="I274" s="15" t="s">
        <v>374</v>
      </c>
      <c r="J274" s="17"/>
      <c r="K274" s="40" t="str">
        <f>"200,0"</f>
        <v>200,0</v>
      </c>
      <c r="L274" s="17" t="str">
        <f>"118,0400"</f>
        <v>118,0400</v>
      </c>
      <c r="M274" s="14" t="s">
        <v>2858</v>
      </c>
    </row>
    <row r="275" spans="1:13">
      <c r="A275" s="17" t="s">
        <v>168</v>
      </c>
      <c r="B275" s="14" t="s">
        <v>2859</v>
      </c>
      <c r="C275" s="14" t="s">
        <v>2860</v>
      </c>
      <c r="D275" s="14" t="s">
        <v>2861</v>
      </c>
      <c r="E275" s="14" t="str">
        <f>"0,5888"</f>
        <v>0,5888</v>
      </c>
      <c r="F275" s="14" t="s">
        <v>91</v>
      </c>
      <c r="G275" s="15" t="s">
        <v>351</v>
      </c>
      <c r="H275" s="15" t="s">
        <v>368</v>
      </c>
      <c r="I275" s="15" t="s">
        <v>383</v>
      </c>
      <c r="J275" s="17"/>
      <c r="K275" s="40" t="str">
        <f>"195,0"</f>
        <v>195,0</v>
      </c>
      <c r="L275" s="17" t="str">
        <f>"114,8160"</f>
        <v>114,8160</v>
      </c>
      <c r="M275" s="14" t="s">
        <v>158</v>
      </c>
    </row>
    <row r="276" spans="1:13">
      <c r="A276" s="17" t="s">
        <v>172</v>
      </c>
      <c r="B276" s="14" t="s">
        <v>2862</v>
      </c>
      <c r="C276" s="14" t="s">
        <v>2863</v>
      </c>
      <c r="D276" s="14" t="s">
        <v>2864</v>
      </c>
      <c r="E276" s="14" t="str">
        <f>"0,6000"</f>
        <v>0,6000</v>
      </c>
      <c r="F276" s="14" t="s">
        <v>129</v>
      </c>
      <c r="G276" s="15" t="s">
        <v>398</v>
      </c>
      <c r="H276" s="15" t="s">
        <v>392</v>
      </c>
      <c r="I276" s="16" t="s">
        <v>374</v>
      </c>
      <c r="J276" s="17"/>
      <c r="K276" s="40" t="str">
        <f>"190,0"</f>
        <v>190,0</v>
      </c>
      <c r="L276" s="17" t="str">
        <f>"114,0000"</f>
        <v>114,0000</v>
      </c>
      <c r="M276" s="14" t="s">
        <v>2865</v>
      </c>
    </row>
    <row r="277" spans="1:13">
      <c r="A277" s="17" t="s">
        <v>178</v>
      </c>
      <c r="B277" s="14" t="s">
        <v>2866</v>
      </c>
      <c r="C277" s="14" t="s">
        <v>2867</v>
      </c>
      <c r="D277" s="14" t="s">
        <v>1249</v>
      </c>
      <c r="E277" s="14" t="str">
        <f>"0,5902"</f>
        <v>0,5902</v>
      </c>
      <c r="F277" s="14" t="s">
        <v>2868</v>
      </c>
      <c r="G277" s="15" t="s">
        <v>398</v>
      </c>
      <c r="H277" s="15" t="s">
        <v>368</v>
      </c>
      <c r="I277" s="17"/>
      <c r="J277" s="17"/>
      <c r="K277" s="40" t="str">
        <f>"185,0"</f>
        <v>185,0</v>
      </c>
      <c r="L277" s="17" t="str">
        <f>"109,1870"</f>
        <v>109,1870</v>
      </c>
      <c r="M277" s="14" t="s">
        <v>158</v>
      </c>
    </row>
    <row r="278" spans="1:13">
      <c r="A278" s="17" t="s">
        <v>183</v>
      </c>
      <c r="B278" s="14" t="s">
        <v>2869</v>
      </c>
      <c r="C278" s="14" t="s">
        <v>1263</v>
      </c>
      <c r="D278" s="14" t="s">
        <v>1888</v>
      </c>
      <c r="E278" s="14" t="str">
        <f>"0,5945"</f>
        <v>0,5945</v>
      </c>
      <c r="F278" s="14" t="s">
        <v>2870</v>
      </c>
      <c r="G278" s="15" t="s">
        <v>347</v>
      </c>
      <c r="H278" s="15" t="s">
        <v>351</v>
      </c>
      <c r="I278" s="16" t="s">
        <v>398</v>
      </c>
      <c r="J278" s="17"/>
      <c r="K278" s="40" t="str">
        <f>"175,0"</f>
        <v>175,0</v>
      </c>
      <c r="L278" s="17" t="str">
        <f>"104,0375"</f>
        <v>104,0375</v>
      </c>
      <c r="M278" s="14" t="s">
        <v>158</v>
      </c>
    </row>
    <row r="279" spans="1:13">
      <c r="A279" s="17" t="s">
        <v>186</v>
      </c>
      <c r="B279" s="14" t="s">
        <v>2871</v>
      </c>
      <c r="C279" s="14" t="s">
        <v>2872</v>
      </c>
      <c r="D279" s="14" t="s">
        <v>2873</v>
      </c>
      <c r="E279" s="14" t="str">
        <f>"0,5905"</f>
        <v>0,5905</v>
      </c>
      <c r="F279" s="14" t="s">
        <v>91</v>
      </c>
      <c r="G279" s="15" t="s">
        <v>248</v>
      </c>
      <c r="H279" s="15" t="s">
        <v>351</v>
      </c>
      <c r="I279" s="16" t="s">
        <v>368</v>
      </c>
      <c r="J279" s="17"/>
      <c r="K279" s="40" t="str">
        <f>"175,0"</f>
        <v>175,0</v>
      </c>
      <c r="L279" s="17" t="str">
        <f>"103,3375"</f>
        <v>103,3375</v>
      </c>
      <c r="M279" s="14" t="s">
        <v>158</v>
      </c>
    </row>
    <row r="280" spans="1:13">
      <c r="A280" s="17" t="s">
        <v>556</v>
      </c>
      <c r="B280" s="14" t="s">
        <v>2874</v>
      </c>
      <c r="C280" s="14" t="s">
        <v>2875</v>
      </c>
      <c r="D280" s="14" t="s">
        <v>762</v>
      </c>
      <c r="E280" s="14" t="str">
        <f>"0,5912"</f>
        <v>0,5912</v>
      </c>
      <c r="F280" s="14" t="s">
        <v>1121</v>
      </c>
      <c r="G280" s="16" t="s">
        <v>347</v>
      </c>
      <c r="H280" s="15" t="s">
        <v>550</v>
      </c>
      <c r="I280" s="16" t="s">
        <v>351</v>
      </c>
      <c r="J280" s="17"/>
      <c r="K280" s="40" t="str">
        <f>"172,5"</f>
        <v>172,5</v>
      </c>
      <c r="L280" s="17" t="str">
        <f>"101,9820"</f>
        <v>101,9820</v>
      </c>
      <c r="M280" s="14" t="s">
        <v>158</v>
      </c>
    </row>
    <row r="281" spans="1:13">
      <c r="A281" s="17" t="s">
        <v>559</v>
      </c>
      <c r="B281" s="14" t="s">
        <v>2170</v>
      </c>
      <c r="C281" s="14" t="s">
        <v>2171</v>
      </c>
      <c r="D281" s="14" t="s">
        <v>776</v>
      </c>
      <c r="E281" s="14" t="str">
        <f>"0,5910"</f>
        <v>0,5910</v>
      </c>
      <c r="F281" s="14" t="s">
        <v>2172</v>
      </c>
      <c r="G281" s="15" t="s">
        <v>347</v>
      </c>
      <c r="H281" s="16" t="s">
        <v>550</v>
      </c>
      <c r="I281" s="15" t="s">
        <v>550</v>
      </c>
      <c r="J281" s="17"/>
      <c r="K281" s="40" t="str">
        <f>"172,5"</f>
        <v>172,5</v>
      </c>
      <c r="L281" s="17" t="str">
        <f>"101,9475"</f>
        <v>101,9475</v>
      </c>
      <c r="M281" s="14" t="s">
        <v>2173</v>
      </c>
    </row>
    <row r="282" spans="1:13">
      <c r="A282" s="17" t="s">
        <v>564</v>
      </c>
      <c r="B282" s="14" t="s">
        <v>2876</v>
      </c>
      <c r="C282" s="14" t="s">
        <v>2877</v>
      </c>
      <c r="D282" s="14" t="s">
        <v>2843</v>
      </c>
      <c r="E282" s="14" t="str">
        <f>"0,5986"</f>
        <v>0,5986</v>
      </c>
      <c r="F282" s="14" t="s">
        <v>2878</v>
      </c>
      <c r="G282" s="16" t="s">
        <v>152</v>
      </c>
      <c r="H282" s="15" t="s">
        <v>347</v>
      </c>
      <c r="I282" s="16" t="s">
        <v>351</v>
      </c>
      <c r="J282" s="17"/>
      <c r="K282" s="40" t="str">
        <f>"167,5"</f>
        <v>167,5</v>
      </c>
      <c r="L282" s="17" t="str">
        <f>"100,2655"</f>
        <v>100,2655</v>
      </c>
      <c r="M282" s="14" t="s">
        <v>158</v>
      </c>
    </row>
    <row r="283" spans="1:13">
      <c r="A283" s="17" t="s">
        <v>569</v>
      </c>
      <c r="B283" s="14" t="s">
        <v>2879</v>
      </c>
      <c r="C283" s="14" t="s">
        <v>2880</v>
      </c>
      <c r="D283" s="14" t="s">
        <v>766</v>
      </c>
      <c r="E283" s="14" t="str">
        <f>"0,5914"</f>
        <v>0,5914</v>
      </c>
      <c r="F283" s="14" t="s">
        <v>906</v>
      </c>
      <c r="G283" s="15" t="s">
        <v>347</v>
      </c>
      <c r="H283" s="16" t="s">
        <v>550</v>
      </c>
      <c r="I283" s="16" t="s">
        <v>550</v>
      </c>
      <c r="J283" s="17"/>
      <c r="K283" s="40" t="str">
        <f>"167,5"</f>
        <v>167,5</v>
      </c>
      <c r="L283" s="17" t="str">
        <f>"99,0595"</f>
        <v>99,0595</v>
      </c>
      <c r="M283" s="14" t="s">
        <v>2881</v>
      </c>
    </row>
    <row r="284" spans="1:13">
      <c r="A284" s="17" t="s">
        <v>572</v>
      </c>
      <c r="B284" s="14" t="s">
        <v>2882</v>
      </c>
      <c r="C284" s="14" t="s">
        <v>2883</v>
      </c>
      <c r="D284" s="14" t="s">
        <v>2884</v>
      </c>
      <c r="E284" s="14" t="str">
        <f>"0,6030"</f>
        <v>0,6030</v>
      </c>
      <c r="F284" s="14" t="s">
        <v>2691</v>
      </c>
      <c r="G284" s="15" t="s">
        <v>151</v>
      </c>
      <c r="H284" s="16" t="s">
        <v>347</v>
      </c>
      <c r="I284" s="16" t="s">
        <v>347</v>
      </c>
      <c r="J284" s="17"/>
      <c r="K284" s="40" t="str">
        <f>"160,0"</f>
        <v>160,0</v>
      </c>
      <c r="L284" s="17" t="str">
        <f>"96,4800"</f>
        <v>96,4800</v>
      </c>
      <c r="M284" s="14" t="s">
        <v>158</v>
      </c>
    </row>
    <row r="285" spans="1:13">
      <c r="A285" s="17" t="s">
        <v>577</v>
      </c>
      <c r="B285" s="14" t="s">
        <v>2885</v>
      </c>
      <c r="C285" s="14" t="s">
        <v>2886</v>
      </c>
      <c r="D285" s="14" t="s">
        <v>2887</v>
      </c>
      <c r="E285" s="14" t="str">
        <f>"0,5939"</f>
        <v>0,5939</v>
      </c>
      <c r="F285" s="14" t="s">
        <v>2643</v>
      </c>
      <c r="G285" s="15" t="s">
        <v>204</v>
      </c>
      <c r="H285" s="15" t="s">
        <v>254</v>
      </c>
      <c r="I285" s="16" t="s">
        <v>347</v>
      </c>
      <c r="J285" s="17"/>
      <c r="K285" s="40" t="str">
        <f>"157,5"</f>
        <v>157,5</v>
      </c>
      <c r="L285" s="17" t="str">
        <f>"93,5393"</f>
        <v>93,5393</v>
      </c>
      <c r="M285" s="14" t="s">
        <v>158</v>
      </c>
    </row>
    <row r="286" spans="1:13">
      <c r="A286" s="17" t="s">
        <v>1810</v>
      </c>
      <c r="B286" s="14" t="s">
        <v>770</v>
      </c>
      <c r="C286" s="14" t="s">
        <v>771</v>
      </c>
      <c r="D286" s="14" t="s">
        <v>772</v>
      </c>
      <c r="E286" s="14" t="str">
        <f>"0,6074"</f>
        <v>0,6074</v>
      </c>
      <c r="F286" s="14" t="s">
        <v>350</v>
      </c>
      <c r="G286" s="15" t="s">
        <v>49</v>
      </c>
      <c r="H286" s="15" t="s">
        <v>69</v>
      </c>
      <c r="I286" s="15" t="s">
        <v>56</v>
      </c>
      <c r="J286" s="17"/>
      <c r="K286" s="40" t="str">
        <f>"115,0"</f>
        <v>115,0</v>
      </c>
      <c r="L286" s="17" t="str">
        <f>"69,8510"</f>
        <v>69,8510</v>
      </c>
      <c r="M286" s="14" t="s">
        <v>158</v>
      </c>
    </row>
    <row r="287" spans="1:13" ht="12.75">
      <c r="A287" s="71" t="s">
        <v>2888</v>
      </c>
      <c r="B287" s="14" t="s">
        <v>2889</v>
      </c>
      <c r="C287" s="14" t="s">
        <v>2890</v>
      </c>
      <c r="D287" s="14" t="s">
        <v>1253</v>
      </c>
      <c r="E287" s="14" t="str">
        <f>"0,5893"</f>
        <v>0,5893</v>
      </c>
      <c r="F287" s="14" t="s">
        <v>2891</v>
      </c>
      <c r="G287" s="15" t="s">
        <v>384</v>
      </c>
      <c r="H287" s="15" t="s">
        <v>420</v>
      </c>
      <c r="I287" s="16" t="s">
        <v>459</v>
      </c>
      <c r="J287" s="17"/>
      <c r="K287" s="40" t="str">
        <f>"220,0"</f>
        <v>220,0</v>
      </c>
      <c r="L287" s="17" t="str">
        <f>"129,6460"</f>
        <v>129,6460</v>
      </c>
      <c r="M287" s="14" t="s">
        <v>158</v>
      </c>
    </row>
    <row r="288" spans="1:13">
      <c r="A288" s="17" t="s">
        <v>92</v>
      </c>
      <c r="B288" s="14" t="s">
        <v>2892</v>
      </c>
      <c r="C288" s="14" t="s">
        <v>2893</v>
      </c>
      <c r="D288" s="14" t="s">
        <v>1245</v>
      </c>
      <c r="E288" s="14" t="str">
        <f>"0,5998"</f>
        <v>0,5998</v>
      </c>
      <c r="F288" s="14" t="s">
        <v>1221</v>
      </c>
      <c r="G288" s="16" t="s">
        <v>455</v>
      </c>
      <c r="H288" s="17"/>
      <c r="I288" s="17"/>
      <c r="J288" s="17"/>
      <c r="K288" s="40">
        <v>0</v>
      </c>
      <c r="L288" s="17" t="str">
        <f>"0,0000"</f>
        <v>0,0000</v>
      </c>
      <c r="M288" s="14" t="s">
        <v>158</v>
      </c>
    </row>
    <row r="289" spans="1:13">
      <c r="A289" s="17" t="s">
        <v>92</v>
      </c>
      <c r="B289" s="14" t="s">
        <v>2894</v>
      </c>
      <c r="C289" s="14" t="s">
        <v>2895</v>
      </c>
      <c r="D289" s="14" t="s">
        <v>2896</v>
      </c>
      <c r="E289" s="14" t="str">
        <f>"0,5937"</f>
        <v>0,5937</v>
      </c>
      <c r="F289" s="14" t="s">
        <v>1697</v>
      </c>
      <c r="G289" s="16" t="s">
        <v>60</v>
      </c>
      <c r="H289" s="16" t="s">
        <v>347</v>
      </c>
      <c r="I289" s="16" t="s">
        <v>347</v>
      </c>
      <c r="J289" s="17"/>
      <c r="K289" s="40">
        <v>0</v>
      </c>
      <c r="L289" s="17" t="str">
        <f>"0,0000"</f>
        <v>0,0000</v>
      </c>
      <c r="M289" s="14" t="s">
        <v>158</v>
      </c>
    </row>
    <row r="290" spans="1:13">
      <c r="A290" s="17" t="s">
        <v>92</v>
      </c>
      <c r="B290" s="14" t="s">
        <v>2897</v>
      </c>
      <c r="C290" s="14" t="s">
        <v>2898</v>
      </c>
      <c r="D290" s="14" t="s">
        <v>1228</v>
      </c>
      <c r="E290" s="14" t="str">
        <f>"0,5917"</f>
        <v>0,5917</v>
      </c>
      <c r="F290" s="14" t="s">
        <v>2899</v>
      </c>
      <c r="G290" s="16" t="s">
        <v>147</v>
      </c>
      <c r="H290" s="16" t="s">
        <v>147</v>
      </c>
      <c r="I290" s="16" t="s">
        <v>147</v>
      </c>
      <c r="J290" s="17"/>
      <c r="K290" s="40">
        <v>0</v>
      </c>
      <c r="L290" s="17" t="str">
        <f>"0,0000"</f>
        <v>0,0000</v>
      </c>
      <c r="M290" s="14" t="s">
        <v>2900</v>
      </c>
    </row>
    <row r="291" spans="1:13">
      <c r="A291" s="17" t="s">
        <v>15</v>
      </c>
      <c r="B291" s="14" t="s">
        <v>2901</v>
      </c>
      <c r="C291" s="14" t="s">
        <v>2902</v>
      </c>
      <c r="D291" s="14" t="s">
        <v>2903</v>
      </c>
      <c r="E291" s="14" t="str">
        <f>"0,5916"</f>
        <v>0,5916</v>
      </c>
      <c r="F291" s="14" t="s">
        <v>2904</v>
      </c>
      <c r="G291" s="15" t="s">
        <v>506</v>
      </c>
      <c r="H291" s="15" t="s">
        <v>743</v>
      </c>
      <c r="I291" s="16" t="s">
        <v>399</v>
      </c>
      <c r="J291" s="17"/>
      <c r="K291" s="40" t="str">
        <f>"202,5"</f>
        <v>202,5</v>
      </c>
      <c r="L291" s="17" t="str">
        <f>"126,9869"</f>
        <v>126,9869</v>
      </c>
      <c r="M291" s="14" t="s">
        <v>158</v>
      </c>
    </row>
    <row r="292" spans="1:13">
      <c r="A292" s="17" t="s">
        <v>62</v>
      </c>
      <c r="B292" s="14" t="s">
        <v>2905</v>
      </c>
      <c r="C292" s="14" t="s">
        <v>2906</v>
      </c>
      <c r="D292" s="14" t="s">
        <v>2907</v>
      </c>
      <c r="E292" s="14" t="str">
        <f>"0,6015"</f>
        <v>0,6015</v>
      </c>
      <c r="F292" s="14" t="s">
        <v>1481</v>
      </c>
      <c r="G292" s="15" t="s">
        <v>248</v>
      </c>
      <c r="H292" s="15" t="s">
        <v>351</v>
      </c>
      <c r="I292" s="15" t="s">
        <v>398</v>
      </c>
      <c r="J292" s="17"/>
      <c r="K292" s="40" t="str">
        <f>"180,0"</f>
        <v>180,0</v>
      </c>
      <c r="L292" s="17" t="str">
        <f>"108,2700"</f>
        <v>108,2700</v>
      </c>
      <c r="M292" s="14" t="s">
        <v>158</v>
      </c>
    </row>
    <row r="293" spans="1:13">
      <c r="A293" s="17" t="s">
        <v>73</v>
      </c>
      <c r="B293" s="14" t="s">
        <v>2908</v>
      </c>
      <c r="C293" s="14" t="s">
        <v>2909</v>
      </c>
      <c r="D293" s="14" t="s">
        <v>2910</v>
      </c>
      <c r="E293" s="14" t="str">
        <f>"0,6083"</f>
        <v>0,6083</v>
      </c>
      <c r="F293" s="14" t="s">
        <v>2911</v>
      </c>
      <c r="G293" s="15" t="s">
        <v>151</v>
      </c>
      <c r="H293" s="15" t="s">
        <v>248</v>
      </c>
      <c r="I293" s="16" t="s">
        <v>351</v>
      </c>
      <c r="J293" s="17"/>
      <c r="K293" s="40" t="str">
        <f>"170,0"</f>
        <v>170,0</v>
      </c>
      <c r="L293" s="17" t="str">
        <f>"111,4771"</f>
        <v>111,4771</v>
      </c>
      <c r="M293" s="14" t="s">
        <v>2912</v>
      </c>
    </row>
    <row r="294" spans="1:13">
      <c r="A294" s="17" t="s">
        <v>75</v>
      </c>
      <c r="B294" s="14" t="s">
        <v>2913</v>
      </c>
      <c r="C294" s="14" t="s">
        <v>2914</v>
      </c>
      <c r="D294" s="14" t="s">
        <v>2915</v>
      </c>
      <c r="E294" s="14" t="str">
        <f>"0,6060"</f>
        <v>0,6060</v>
      </c>
      <c r="F294" s="14" t="s">
        <v>2166</v>
      </c>
      <c r="G294" s="15" t="s">
        <v>151</v>
      </c>
      <c r="H294" s="15" t="s">
        <v>248</v>
      </c>
      <c r="I294" s="16" t="s">
        <v>351</v>
      </c>
      <c r="J294" s="17"/>
      <c r="K294" s="40" t="str">
        <f>"170,0"</f>
        <v>170,0</v>
      </c>
      <c r="L294" s="17" t="str">
        <f>"103,0200"</f>
        <v>103,0200</v>
      </c>
      <c r="M294" s="14" t="s">
        <v>158</v>
      </c>
    </row>
    <row r="295" spans="1:13">
      <c r="A295" s="17" t="s">
        <v>87</v>
      </c>
      <c r="B295" s="14" t="s">
        <v>774</v>
      </c>
      <c r="C295" s="14" t="s">
        <v>775</v>
      </c>
      <c r="D295" s="14" t="s">
        <v>776</v>
      </c>
      <c r="E295" s="14" t="str">
        <f>"0,5910"</f>
        <v>0,5910</v>
      </c>
      <c r="F295" s="14" t="s">
        <v>602</v>
      </c>
      <c r="G295" s="69" t="s">
        <v>60</v>
      </c>
      <c r="H295" s="70" t="s">
        <v>151</v>
      </c>
      <c r="I295" s="70" t="s">
        <v>248</v>
      </c>
      <c r="J295" s="17"/>
      <c r="K295" s="40" t="str">
        <f>"170,0"</f>
        <v>170,0</v>
      </c>
      <c r="L295" s="17" t="str">
        <f>"104,8907"</f>
        <v>104,8907</v>
      </c>
      <c r="M295" s="14" t="s">
        <v>158</v>
      </c>
    </row>
    <row r="296" spans="1:13">
      <c r="A296" s="17" t="s">
        <v>168</v>
      </c>
      <c r="B296" s="14" t="s">
        <v>2916</v>
      </c>
      <c r="C296" s="14" t="s">
        <v>2917</v>
      </c>
      <c r="D296" s="14" t="s">
        <v>1245</v>
      </c>
      <c r="E296" s="14" t="str">
        <f>"0,5998"</f>
        <v>0,5998</v>
      </c>
      <c r="F296" s="14" t="s">
        <v>1309</v>
      </c>
      <c r="G296" s="16" t="s">
        <v>60</v>
      </c>
      <c r="H296" s="15" t="s">
        <v>205</v>
      </c>
      <c r="I296" s="16" t="s">
        <v>151</v>
      </c>
      <c r="J296" s="17"/>
      <c r="K296" s="40" t="str">
        <f>"155,0"</f>
        <v>155,0</v>
      </c>
      <c r="L296" s="17" t="str">
        <f>"97,0596"</f>
        <v>97,0596</v>
      </c>
      <c r="M296" s="14" t="s">
        <v>2918</v>
      </c>
    </row>
    <row r="297" spans="1:13">
      <c r="A297" s="17" t="s">
        <v>172</v>
      </c>
      <c r="B297" s="14" t="s">
        <v>2919</v>
      </c>
      <c r="C297" s="14" t="s">
        <v>2920</v>
      </c>
      <c r="D297" s="14" t="s">
        <v>1874</v>
      </c>
      <c r="E297" s="14" t="str">
        <f>"0,5903"</f>
        <v>0,5903</v>
      </c>
      <c r="F297" s="14" t="s">
        <v>91</v>
      </c>
      <c r="G297" s="15" t="s">
        <v>346</v>
      </c>
      <c r="H297" s="16" t="s">
        <v>204</v>
      </c>
      <c r="I297" s="16" t="s">
        <v>204</v>
      </c>
      <c r="J297" s="17"/>
      <c r="K297" s="40" t="str">
        <f>"142,5"</f>
        <v>142,5</v>
      </c>
      <c r="L297" s="17" t="str">
        <f>"93,7072"</f>
        <v>93,7072</v>
      </c>
      <c r="M297" s="14" t="s">
        <v>2921</v>
      </c>
    </row>
    <row r="298" spans="1:13">
      <c r="A298" s="17" t="s">
        <v>15</v>
      </c>
      <c r="B298" s="14" t="s">
        <v>2922</v>
      </c>
      <c r="C298" s="14" t="s">
        <v>2923</v>
      </c>
      <c r="D298" s="14" t="s">
        <v>1232</v>
      </c>
      <c r="E298" s="14" t="str">
        <f>"0,5907"</f>
        <v>0,5907</v>
      </c>
      <c r="F298" s="14" t="s">
        <v>91</v>
      </c>
      <c r="G298" s="15" t="s">
        <v>427</v>
      </c>
      <c r="H298" s="15" t="s">
        <v>347</v>
      </c>
      <c r="I298" s="16" t="s">
        <v>248</v>
      </c>
      <c r="J298" s="17"/>
      <c r="K298" s="40" t="str">
        <f>"167,5"</f>
        <v>167,5</v>
      </c>
      <c r="L298" s="17" t="str">
        <f>"113,7836"</f>
        <v>113,7836</v>
      </c>
      <c r="M298" s="14" t="s">
        <v>158</v>
      </c>
    </row>
    <row r="299" spans="1:13">
      <c r="A299" s="20" t="s">
        <v>15</v>
      </c>
      <c r="B299" s="18" t="s">
        <v>2924</v>
      </c>
      <c r="C299" s="18" t="s">
        <v>2925</v>
      </c>
      <c r="D299" s="18" t="s">
        <v>2926</v>
      </c>
      <c r="E299" s="18" t="str">
        <f>"0,5952"</f>
        <v>0,5952</v>
      </c>
      <c r="F299" s="18" t="s">
        <v>1378</v>
      </c>
      <c r="G299" s="22" t="s">
        <v>152</v>
      </c>
      <c r="H299" s="19" t="s">
        <v>152</v>
      </c>
      <c r="I299" s="19" t="s">
        <v>248</v>
      </c>
      <c r="J299" s="20"/>
      <c r="K299" s="38" t="str">
        <f>"170,0"</f>
        <v>170,0</v>
      </c>
      <c r="L299" s="20" t="str">
        <f>"142,6694"</f>
        <v>142,6694</v>
      </c>
      <c r="M299" s="18" t="s">
        <v>158</v>
      </c>
    </row>
    <row r="300" spans="1:13">
      <c r="B300" s="5" t="s">
        <v>40</v>
      </c>
    </row>
    <row r="301" spans="1:13" ht="15.95">
      <c r="A301" s="102" t="s">
        <v>783</v>
      </c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</row>
    <row r="302" spans="1:13">
      <c r="A302" s="13" t="s">
        <v>15</v>
      </c>
      <c r="B302" s="11" t="s">
        <v>1551</v>
      </c>
      <c r="C302" s="11" t="s">
        <v>1552</v>
      </c>
      <c r="D302" s="11" t="s">
        <v>1553</v>
      </c>
      <c r="E302" s="11" t="str">
        <f>"0,5778"</f>
        <v>0,5778</v>
      </c>
      <c r="F302" s="11" t="s">
        <v>45</v>
      </c>
      <c r="G302" s="12" t="s">
        <v>384</v>
      </c>
      <c r="H302" s="12" t="s">
        <v>442</v>
      </c>
      <c r="I302" s="21" t="s">
        <v>421</v>
      </c>
      <c r="J302" s="13"/>
      <c r="K302" s="37" t="str">
        <f>"225,0"</f>
        <v>225,0</v>
      </c>
      <c r="L302" s="13" t="str">
        <f>"130,0050"</f>
        <v>130,0050</v>
      </c>
      <c r="M302" s="11" t="s">
        <v>158</v>
      </c>
    </row>
    <row r="303" spans="1:13">
      <c r="A303" s="17" t="s">
        <v>62</v>
      </c>
      <c r="B303" s="14" t="s">
        <v>2927</v>
      </c>
      <c r="C303" s="14" t="s">
        <v>2928</v>
      </c>
      <c r="D303" s="14" t="s">
        <v>1949</v>
      </c>
      <c r="E303" s="14" t="str">
        <f>"0,5726"</f>
        <v>0,5726</v>
      </c>
      <c r="F303" s="14" t="s">
        <v>562</v>
      </c>
      <c r="G303" s="15" t="s">
        <v>399</v>
      </c>
      <c r="H303" s="15" t="s">
        <v>495</v>
      </c>
      <c r="I303" s="15" t="s">
        <v>441</v>
      </c>
      <c r="J303" s="17"/>
      <c r="K303" s="40" t="str">
        <f>"217,5"</f>
        <v>217,5</v>
      </c>
      <c r="L303" s="17" t="str">
        <f>"124,5405"</f>
        <v>124,5405</v>
      </c>
      <c r="M303" s="14" t="s">
        <v>158</v>
      </c>
    </row>
    <row r="304" spans="1:13">
      <c r="A304" s="17" t="s">
        <v>73</v>
      </c>
      <c r="B304" s="14" t="s">
        <v>2929</v>
      </c>
      <c r="C304" s="14" t="s">
        <v>2930</v>
      </c>
      <c r="D304" s="14" t="s">
        <v>2931</v>
      </c>
      <c r="E304" s="14" t="str">
        <f>"0,5730"</f>
        <v>0,5730</v>
      </c>
      <c r="F304" s="14" t="s">
        <v>294</v>
      </c>
      <c r="G304" s="15" t="s">
        <v>454</v>
      </c>
      <c r="H304" s="15" t="s">
        <v>743</v>
      </c>
      <c r="I304" s="15" t="s">
        <v>455</v>
      </c>
      <c r="J304" s="17"/>
      <c r="K304" s="40" t="str">
        <f>"207,5"</f>
        <v>207,5</v>
      </c>
      <c r="L304" s="17" t="str">
        <f>"118,8975"</f>
        <v>118,8975</v>
      </c>
      <c r="M304" s="14" t="s">
        <v>158</v>
      </c>
    </row>
    <row r="305" spans="1:13">
      <c r="A305" s="17" t="s">
        <v>75</v>
      </c>
      <c r="B305" s="14" t="s">
        <v>2932</v>
      </c>
      <c r="C305" s="14" t="s">
        <v>2933</v>
      </c>
      <c r="D305" s="14" t="s">
        <v>2934</v>
      </c>
      <c r="E305" s="14" t="str">
        <f>"0,5771"</f>
        <v>0,5771</v>
      </c>
      <c r="F305" s="14" t="s">
        <v>66</v>
      </c>
      <c r="G305" s="15" t="s">
        <v>383</v>
      </c>
      <c r="H305" s="16" t="s">
        <v>743</v>
      </c>
      <c r="I305" s="16" t="s">
        <v>743</v>
      </c>
      <c r="J305" s="17"/>
      <c r="K305" s="40" t="str">
        <f>"195,0"</f>
        <v>195,0</v>
      </c>
      <c r="L305" s="17" t="str">
        <f>"112,5345"</f>
        <v>112,5345</v>
      </c>
      <c r="M305" s="14" t="s">
        <v>2198</v>
      </c>
    </row>
    <row r="306" spans="1:13">
      <c r="A306" s="17" t="s">
        <v>87</v>
      </c>
      <c r="B306" s="14" t="s">
        <v>2935</v>
      </c>
      <c r="C306" s="14" t="s">
        <v>2936</v>
      </c>
      <c r="D306" s="14" t="s">
        <v>2937</v>
      </c>
      <c r="E306" s="14" t="str">
        <f>"0,5840"</f>
        <v>0,5840</v>
      </c>
      <c r="F306" s="14" t="s">
        <v>2938</v>
      </c>
      <c r="G306" s="16" t="s">
        <v>392</v>
      </c>
      <c r="H306" s="15" t="s">
        <v>454</v>
      </c>
      <c r="I306" s="16" t="s">
        <v>374</v>
      </c>
      <c r="J306" s="17"/>
      <c r="K306" s="40" t="str">
        <f>"192,5"</f>
        <v>192,5</v>
      </c>
      <c r="L306" s="17" t="str">
        <f>"112,4200"</f>
        <v>112,4200</v>
      </c>
      <c r="M306" s="14" t="s">
        <v>2939</v>
      </c>
    </row>
    <row r="307" spans="1:13">
      <c r="A307" s="17" t="s">
        <v>168</v>
      </c>
      <c r="B307" s="14" t="s">
        <v>2940</v>
      </c>
      <c r="C307" s="14" t="s">
        <v>2941</v>
      </c>
      <c r="D307" s="14" t="s">
        <v>2942</v>
      </c>
      <c r="E307" s="14" t="str">
        <f>"0,5799"</f>
        <v>0,5799</v>
      </c>
      <c r="F307" s="14" t="s">
        <v>1218</v>
      </c>
      <c r="G307" s="15" t="s">
        <v>248</v>
      </c>
      <c r="H307" s="15" t="s">
        <v>452</v>
      </c>
      <c r="I307" s="15" t="s">
        <v>368</v>
      </c>
      <c r="J307" s="17"/>
      <c r="K307" s="40" t="str">
        <f>"185,0"</f>
        <v>185,0</v>
      </c>
      <c r="L307" s="17" t="str">
        <f>"107,2815"</f>
        <v>107,2815</v>
      </c>
      <c r="M307" s="14" t="s">
        <v>2943</v>
      </c>
    </row>
    <row r="308" spans="1:13">
      <c r="A308" s="17" t="s">
        <v>15</v>
      </c>
      <c r="B308" s="14" t="s">
        <v>2927</v>
      </c>
      <c r="C308" s="14" t="s">
        <v>2944</v>
      </c>
      <c r="D308" s="14" t="s">
        <v>1949</v>
      </c>
      <c r="E308" s="14" t="str">
        <f>"0,5726"</f>
        <v>0,5726</v>
      </c>
      <c r="F308" s="14" t="s">
        <v>562</v>
      </c>
      <c r="G308" s="15" t="s">
        <v>399</v>
      </c>
      <c r="H308" s="15" t="s">
        <v>495</v>
      </c>
      <c r="I308" s="15" t="s">
        <v>441</v>
      </c>
      <c r="J308" s="17"/>
      <c r="K308" s="40" t="str">
        <f>"217,5"</f>
        <v>217,5</v>
      </c>
      <c r="L308" s="17" t="str">
        <f>"128,0276"</f>
        <v>128,0276</v>
      </c>
      <c r="M308" s="14" t="s">
        <v>158</v>
      </c>
    </row>
    <row r="309" spans="1:13">
      <c r="A309" s="17" t="s">
        <v>62</v>
      </c>
      <c r="B309" s="14" t="s">
        <v>2945</v>
      </c>
      <c r="C309" s="14" t="s">
        <v>2946</v>
      </c>
      <c r="D309" s="14" t="s">
        <v>2947</v>
      </c>
      <c r="E309" s="14" t="str">
        <f>"0,5808"</f>
        <v>0,5808</v>
      </c>
      <c r="F309" s="14" t="s">
        <v>1522</v>
      </c>
      <c r="G309" s="15" t="s">
        <v>384</v>
      </c>
      <c r="H309" s="15" t="s">
        <v>2948</v>
      </c>
      <c r="I309" s="16" t="s">
        <v>441</v>
      </c>
      <c r="J309" s="17"/>
      <c r="K309" s="40" t="str">
        <f>"215,5"</f>
        <v>215,5</v>
      </c>
      <c r="L309" s="17" t="str">
        <f>"125,7882"</f>
        <v>125,7882</v>
      </c>
      <c r="M309" s="14" t="s">
        <v>2830</v>
      </c>
    </row>
    <row r="310" spans="1:13">
      <c r="A310" s="17" t="s">
        <v>73</v>
      </c>
      <c r="B310" s="14" t="s">
        <v>2929</v>
      </c>
      <c r="C310" s="14" t="s">
        <v>2949</v>
      </c>
      <c r="D310" s="14" t="s">
        <v>2931</v>
      </c>
      <c r="E310" s="14" t="str">
        <f>"0,5730"</f>
        <v>0,5730</v>
      </c>
      <c r="F310" s="14" t="s">
        <v>294</v>
      </c>
      <c r="G310" s="15" t="s">
        <v>454</v>
      </c>
      <c r="H310" s="15" t="s">
        <v>743</v>
      </c>
      <c r="I310" s="15" t="s">
        <v>455</v>
      </c>
      <c r="J310" s="17"/>
      <c r="K310" s="40" t="str">
        <f>"207,5"</f>
        <v>207,5</v>
      </c>
      <c r="L310" s="17" t="str">
        <f>"128,1715"</f>
        <v>128,1715</v>
      </c>
      <c r="M310" s="14" t="s">
        <v>158</v>
      </c>
    </row>
    <row r="311" spans="1:13">
      <c r="A311" s="17" t="s">
        <v>75</v>
      </c>
      <c r="B311" s="14" t="s">
        <v>2950</v>
      </c>
      <c r="C311" s="14" t="s">
        <v>2951</v>
      </c>
      <c r="D311" s="14" t="s">
        <v>2952</v>
      </c>
      <c r="E311" s="14" t="str">
        <f>"0,5721"</f>
        <v>0,5721</v>
      </c>
      <c r="F311" s="14" t="s">
        <v>91</v>
      </c>
      <c r="G311" s="15" t="s">
        <v>392</v>
      </c>
      <c r="H311" s="16" t="s">
        <v>399</v>
      </c>
      <c r="I311" s="15" t="s">
        <v>399</v>
      </c>
      <c r="J311" s="17"/>
      <c r="K311" s="40" t="str">
        <f>"205,0"</f>
        <v>205,0</v>
      </c>
      <c r="L311" s="17" t="str">
        <f>"132,7615"</f>
        <v>132,7615</v>
      </c>
      <c r="M311" s="14" t="s">
        <v>2953</v>
      </c>
    </row>
    <row r="312" spans="1:13">
      <c r="A312" s="17" t="s">
        <v>87</v>
      </c>
      <c r="B312" s="14" t="s">
        <v>2954</v>
      </c>
      <c r="C312" s="14" t="s">
        <v>2955</v>
      </c>
      <c r="D312" s="14" t="s">
        <v>1308</v>
      </c>
      <c r="E312" s="14" t="str">
        <f>"0,5820"</f>
        <v>0,5820</v>
      </c>
      <c r="F312" s="14" t="s">
        <v>1121</v>
      </c>
      <c r="G312" s="15" t="s">
        <v>351</v>
      </c>
      <c r="H312" s="15" t="s">
        <v>398</v>
      </c>
      <c r="I312" s="15" t="s">
        <v>368</v>
      </c>
      <c r="J312" s="17"/>
      <c r="K312" s="40" t="str">
        <f>"185,0"</f>
        <v>185,0</v>
      </c>
      <c r="L312" s="17" t="str">
        <f>"109,1774"</f>
        <v>109,1774</v>
      </c>
      <c r="M312" s="14" t="s">
        <v>2956</v>
      </c>
    </row>
    <row r="313" spans="1:13">
      <c r="A313" s="17" t="s">
        <v>168</v>
      </c>
      <c r="B313" s="14" t="s">
        <v>2957</v>
      </c>
      <c r="C313" s="14" t="s">
        <v>2958</v>
      </c>
      <c r="D313" s="14" t="s">
        <v>2959</v>
      </c>
      <c r="E313" s="14" t="str">
        <f>"0,5723"</f>
        <v>0,5723</v>
      </c>
      <c r="F313" s="14" t="s">
        <v>1533</v>
      </c>
      <c r="G313" s="15" t="s">
        <v>398</v>
      </c>
      <c r="H313" s="15" t="s">
        <v>368</v>
      </c>
      <c r="I313" s="16" t="s">
        <v>453</v>
      </c>
      <c r="J313" s="17"/>
      <c r="K313" s="40" t="str">
        <f>"185,0"</f>
        <v>185,0</v>
      </c>
      <c r="L313" s="17" t="str">
        <f>"110,5340"</f>
        <v>110,5340</v>
      </c>
      <c r="M313" s="14" t="s">
        <v>158</v>
      </c>
    </row>
    <row r="314" spans="1:13">
      <c r="A314" s="17" t="s">
        <v>172</v>
      </c>
      <c r="B314" s="14" t="s">
        <v>2960</v>
      </c>
      <c r="C314" s="14" t="s">
        <v>2961</v>
      </c>
      <c r="D314" s="14" t="s">
        <v>2962</v>
      </c>
      <c r="E314" s="14" t="str">
        <f>"0,5843"</f>
        <v>0,5843</v>
      </c>
      <c r="F314" s="14" t="s">
        <v>2963</v>
      </c>
      <c r="G314" s="15" t="s">
        <v>351</v>
      </c>
      <c r="H314" s="15" t="s">
        <v>398</v>
      </c>
      <c r="I314" s="15" t="s">
        <v>458</v>
      </c>
      <c r="J314" s="17"/>
      <c r="K314" s="40" t="str">
        <f>"182,5"</f>
        <v>182,5</v>
      </c>
      <c r="L314" s="17" t="str">
        <f>"113,0328"</f>
        <v>113,0328</v>
      </c>
      <c r="M314" s="14" t="s">
        <v>158</v>
      </c>
    </row>
    <row r="315" spans="1:13">
      <c r="A315" s="17" t="s">
        <v>178</v>
      </c>
      <c r="B315" s="14" t="s">
        <v>2964</v>
      </c>
      <c r="C315" s="14" t="s">
        <v>2965</v>
      </c>
      <c r="D315" s="14" t="s">
        <v>2966</v>
      </c>
      <c r="E315" s="14" t="str">
        <f>"0,5699"</f>
        <v>0,5699</v>
      </c>
      <c r="F315" s="14" t="s">
        <v>813</v>
      </c>
      <c r="G315" s="16" t="s">
        <v>452</v>
      </c>
      <c r="H315" s="15" t="s">
        <v>452</v>
      </c>
      <c r="I315" s="15" t="s">
        <v>458</v>
      </c>
      <c r="J315" s="17"/>
      <c r="K315" s="40" t="str">
        <f>"182,5"</f>
        <v>182,5</v>
      </c>
      <c r="L315" s="17" t="str">
        <f>"113,9914"</f>
        <v>113,9914</v>
      </c>
      <c r="M315" s="14" t="s">
        <v>158</v>
      </c>
    </row>
    <row r="316" spans="1:13">
      <c r="A316" s="20" t="s">
        <v>15</v>
      </c>
      <c r="B316" s="18" t="s">
        <v>2967</v>
      </c>
      <c r="C316" s="18" t="s">
        <v>2968</v>
      </c>
      <c r="D316" s="18" t="s">
        <v>2969</v>
      </c>
      <c r="E316" s="18" t="str">
        <f>"0,5714"</f>
        <v>0,5714</v>
      </c>
      <c r="F316" s="18" t="s">
        <v>91</v>
      </c>
      <c r="G316" s="19" t="s">
        <v>152</v>
      </c>
      <c r="H316" s="19" t="s">
        <v>248</v>
      </c>
      <c r="I316" s="19" t="s">
        <v>452</v>
      </c>
      <c r="J316" s="20"/>
      <c r="K316" s="38" t="str">
        <f>"177,5"</f>
        <v>177,5</v>
      </c>
      <c r="L316" s="20" t="str">
        <f>"126,7794"</f>
        <v>126,7794</v>
      </c>
      <c r="M316" s="18" t="s">
        <v>158</v>
      </c>
    </row>
    <row r="317" spans="1:13">
      <c r="B317" s="5" t="s">
        <v>40</v>
      </c>
    </row>
    <row r="318" spans="1:13" ht="15.95">
      <c r="A318" s="102" t="s">
        <v>794</v>
      </c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</row>
    <row r="319" spans="1:13">
      <c r="A319" s="13" t="s">
        <v>15</v>
      </c>
      <c r="B319" s="11" t="s">
        <v>2970</v>
      </c>
      <c r="C319" s="11" t="s">
        <v>2971</v>
      </c>
      <c r="D319" s="11" t="s">
        <v>2972</v>
      </c>
      <c r="E319" s="11" t="str">
        <f>"0,5645"</f>
        <v>0,5645</v>
      </c>
      <c r="F319" s="11" t="s">
        <v>91</v>
      </c>
      <c r="G319" s="12" t="s">
        <v>550</v>
      </c>
      <c r="H319" s="12" t="s">
        <v>452</v>
      </c>
      <c r="I319" s="21" t="s">
        <v>2973</v>
      </c>
      <c r="J319" s="13"/>
      <c r="K319" s="37" t="str">
        <f>"177,5"</f>
        <v>177,5</v>
      </c>
      <c r="L319" s="13" t="str">
        <f>"100,1987"</f>
        <v>100,1987</v>
      </c>
      <c r="M319" s="11" t="s">
        <v>158</v>
      </c>
    </row>
    <row r="320" spans="1:13">
      <c r="A320" s="17" t="s">
        <v>15</v>
      </c>
      <c r="B320" s="14" t="s">
        <v>2974</v>
      </c>
      <c r="C320" s="14" t="s">
        <v>2975</v>
      </c>
      <c r="D320" s="14" t="s">
        <v>2976</v>
      </c>
      <c r="E320" s="14" t="str">
        <f>"0,5659"</f>
        <v>0,5659</v>
      </c>
      <c r="F320" s="14" t="s">
        <v>2792</v>
      </c>
      <c r="G320" s="15" t="s">
        <v>442</v>
      </c>
      <c r="H320" s="15" t="s">
        <v>421</v>
      </c>
      <c r="I320" s="16" t="s">
        <v>508</v>
      </c>
      <c r="J320" s="17"/>
      <c r="K320" s="40" t="str">
        <f>"230,0"</f>
        <v>230,0</v>
      </c>
      <c r="L320" s="17" t="str">
        <f>"130,1570"</f>
        <v>130,1570</v>
      </c>
      <c r="M320" s="14" t="s">
        <v>158</v>
      </c>
    </row>
    <row r="321" spans="1:13">
      <c r="A321" s="17" t="s">
        <v>62</v>
      </c>
      <c r="B321" s="14" t="s">
        <v>2977</v>
      </c>
      <c r="C321" s="14" t="s">
        <v>2978</v>
      </c>
      <c r="D321" s="14" t="s">
        <v>1321</v>
      </c>
      <c r="E321" s="14" t="str">
        <f>"0,5588"</f>
        <v>0,5588</v>
      </c>
      <c r="F321" s="14" t="s">
        <v>720</v>
      </c>
      <c r="G321" s="15" t="s">
        <v>384</v>
      </c>
      <c r="H321" s="15" t="s">
        <v>442</v>
      </c>
      <c r="I321" s="16" t="s">
        <v>421</v>
      </c>
      <c r="J321" s="17"/>
      <c r="K321" s="40" t="str">
        <f>"225,0"</f>
        <v>225,0</v>
      </c>
      <c r="L321" s="17" t="str">
        <f>"125,7300"</f>
        <v>125,7300</v>
      </c>
      <c r="M321" s="14" t="s">
        <v>158</v>
      </c>
    </row>
    <row r="322" spans="1:13">
      <c r="A322" s="17" t="s">
        <v>73</v>
      </c>
      <c r="B322" s="14" t="s">
        <v>800</v>
      </c>
      <c r="C322" s="14" t="s">
        <v>801</v>
      </c>
      <c r="D322" s="14" t="s">
        <v>802</v>
      </c>
      <c r="E322" s="14" t="str">
        <f>"0,5662"</f>
        <v>0,5662</v>
      </c>
      <c r="F322" s="14" t="s">
        <v>690</v>
      </c>
      <c r="G322" s="15" t="s">
        <v>368</v>
      </c>
      <c r="H322" s="16" t="s">
        <v>506</v>
      </c>
      <c r="I322" s="16" t="s">
        <v>374</v>
      </c>
      <c r="J322" s="17"/>
      <c r="K322" s="40" t="str">
        <f>"185,0"</f>
        <v>185,0</v>
      </c>
      <c r="L322" s="17" t="str">
        <f>"104,7470"</f>
        <v>104,7470</v>
      </c>
      <c r="M322" s="14" t="s">
        <v>158</v>
      </c>
    </row>
    <row r="323" spans="1:13">
      <c r="A323" s="17" t="s">
        <v>92</v>
      </c>
      <c r="B323" s="14" t="s">
        <v>2979</v>
      </c>
      <c r="C323" s="14" t="s">
        <v>1995</v>
      </c>
      <c r="D323" s="14" t="s">
        <v>2980</v>
      </c>
      <c r="E323" s="14" t="str">
        <f>"0,5623"</f>
        <v>0,5623</v>
      </c>
      <c r="F323" s="14" t="s">
        <v>2870</v>
      </c>
      <c r="G323" s="16" t="s">
        <v>459</v>
      </c>
      <c r="H323" s="16" t="s">
        <v>459</v>
      </c>
      <c r="I323" s="17"/>
      <c r="J323" s="17"/>
      <c r="K323" s="40">
        <v>0</v>
      </c>
      <c r="L323" s="17" t="str">
        <f>"0,0000"</f>
        <v>0,0000</v>
      </c>
      <c r="M323" s="14" t="s">
        <v>2981</v>
      </c>
    </row>
    <row r="324" spans="1:13">
      <c r="A324" s="17" t="s">
        <v>15</v>
      </c>
      <c r="B324" s="14" t="s">
        <v>2982</v>
      </c>
      <c r="C324" s="14" t="s">
        <v>2983</v>
      </c>
      <c r="D324" s="14" t="s">
        <v>2984</v>
      </c>
      <c r="E324" s="14" t="str">
        <f>"0,5640"</f>
        <v>0,5640</v>
      </c>
      <c r="F324" s="14" t="s">
        <v>2985</v>
      </c>
      <c r="G324" s="15" t="s">
        <v>383</v>
      </c>
      <c r="H324" s="15" t="s">
        <v>743</v>
      </c>
      <c r="I324" s="15" t="s">
        <v>2986</v>
      </c>
      <c r="J324" s="17"/>
      <c r="K324" s="40" t="str">
        <f>"208,0"</f>
        <v>208,0</v>
      </c>
      <c r="L324" s="17" t="str">
        <f>"126,4623"</f>
        <v>126,4623</v>
      </c>
      <c r="M324" s="14" t="s">
        <v>158</v>
      </c>
    </row>
    <row r="325" spans="1:13">
      <c r="A325" s="17" t="s">
        <v>62</v>
      </c>
      <c r="B325" s="14" t="s">
        <v>2987</v>
      </c>
      <c r="C325" s="14" t="s">
        <v>2988</v>
      </c>
      <c r="D325" s="14" t="s">
        <v>2989</v>
      </c>
      <c r="E325" s="14" t="str">
        <f>"0,5668"</f>
        <v>0,5668</v>
      </c>
      <c r="F325" s="14" t="s">
        <v>2673</v>
      </c>
      <c r="G325" s="15" t="s">
        <v>368</v>
      </c>
      <c r="H325" s="16" t="s">
        <v>392</v>
      </c>
      <c r="I325" s="16" t="s">
        <v>392</v>
      </c>
      <c r="J325" s="17"/>
      <c r="K325" s="40" t="str">
        <f>"185,0"</f>
        <v>185,0</v>
      </c>
      <c r="L325" s="17" t="str">
        <f>"113,0369"</f>
        <v>113,0369</v>
      </c>
      <c r="M325" s="14" t="s">
        <v>2990</v>
      </c>
    </row>
    <row r="326" spans="1:13">
      <c r="A326" s="20" t="s">
        <v>15</v>
      </c>
      <c r="B326" s="18" t="s">
        <v>2991</v>
      </c>
      <c r="C326" s="18" t="s">
        <v>2992</v>
      </c>
      <c r="D326" s="18" t="s">
        <v>2993</v>
      </c>
      <c r="E326" s="18" t="str">
        <f>"0,5605"</f>
        <v>0,5605</v>
      </c>
      <c r="F326" s="18" t="s">
        <v>636</v>
      </c>
      <c r="G326" s="22" t="s">
        <v>248</v>
      </c>
      <c r="H326" s="22" t="s">
        <v>248</v>
      </c>
      <c r="I326" s="19" t="s">
        <v>248</v>
      </c>
      <c r="J326" s="20"/>
      <c r="K326" s="38" t="str">
        <f>"170,0"</f>
        <v>170,0</v>
      </c>
      <c r="L326" s="20" t="str">
        <f>"125,9668"</f>
        <v>125,9668</v>
      </c>
      <c r="M326" s="18" t="s">
        <v>158</v>
      </c>
    </row>
    <row r="327" spans="1:13">
      <c r="B327" s="5" t="s">
        <v>40</v>
      </c>
    </row>
    <row r="328" spans="1:13" ht="15.95">
      <c r="A328" s="102" t="s">
        <v>818</v>
      </c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</row>
    <row r="329" spans="1:13">
      <c r="A329" s="13" t="s">
        <v>15</v>
      </c>
      <c r="B329" s="11" t="s">
        <v>2994</v>
      </c>
      <c r="C329" s="11" t="s">
        <v>2995</v>
      </c>
      <c r="D329" s="11" t="s">
        <v>2996</v>
      </c>
      <c r="E329" s="11" t="str">
        <f>"0,5498"</f>
        <v>0,5498</v>
      </c>
      <c r="F329" s="11" t="s">
        <v>2997</v>
      </c>
      <c r="G329" s="21" t="s">
        <v>421</v>
      </c>
      <c r="H329" s="12" t="s">
        <v>459</v>
      </c>
      <c r="I329" s="12" t="s">
        <v>682</v>
      </c>
      <c r="J329" s="13"/>
      <c r="K329" s="37" t="str">
        <f>"237,5"</f>
        <v>237,5</v>
      </c>
      <c r="L329" s="13" t="str">
        <f>"130,5775"</f>
        <v>130,5775</v>
      </c>
      <c r="M329" s="11" t="s">
        <v>2998</v>
      </c>
    </row>
    <row r="330" spans="1:13">
      <c r="A330" s="17" t="s">
        <v>62</v>
      </c>
      <c r="B330" s="14" t="s">
        <v>2195</v>
      </c>
      <c r="C330" s="14" t="s">
        <v>2196</v>
      </c>
      <c r="D330" s="14" t="s">
        <v>2197</v>
      </c>
      <c r="E330" s="14" t="str">
        <f>"0,5525"</f>
        <v>0,5525</v>
      </c>
      <c r="F330" s="14" t="s">
        <v>66</v>
      </c>
      <c r="G330" s="15" t="s">
        <v>383</v>
      </c>
      <c r="H330" s="16" t="s">
        <v>743</v>
      </c>
      <c r="I330" s="15" t="s">
        <v>743</v>
      </c>
      <c r="J330" s="17"/>
      <c r="K330" s="40" t="str">
        <f>"202,5"</f>
        <v>202,5</v>
      </c>
      <c r="L330" s="17" t="str">
        <f>"111,8813"</f>
        <v>111,8813</v>
      </c>
      <c r="M330" s="14" t="s">
        <v>2198</v>
      </c>
    </row>
    <row r="331" spans="1:13">
      <c r="A331" s="17" t="s">
        <v>73</v>
      </c>
      <c r="B331" s="14" t="s">
        <v>825</v>
      </c>
      <c r="C331" s="14" t="s">
        <v>826</v>
      </c>
      <c r="D331" s="14" t="s">
        <v>827</v>
      </c>
      <c r="E331" s="14" t="str">
        <f>"0,5476"</f>
        <v>0,5476</v>
      </c>
      <c r="F331" s="14" t="s">
        <v>828</v>
      </c>
      <c r="G331" s="15" t="s">
        <v>392</v>
      </c>
      <c r="H331" s="15" t="s">
        <v>383</v>
      </c>
      <c r="I331" s="16" t="s">
        <v>374</v>
      </c>
      <c r="J331" s="17"/>
      <c r="K331" s="40" t="str">
        <f>"195,0"</f>
        <v>195,0</v>
      </c>
      <c r="L331" s="17" t="str">
        <f>"106,7820"</f>
        <v>106,7820</v>
      </c>
      <c r="M331" s="14" t="s">
        <v>829</v>
      </c>
    </row>
    <row r="332" spans="1:13">
      <c r="A332" s="17" t="s">
        <v>75</v>
      </c>
      <c r="B332" s="14" t="s">
        <v>2999</v>
      </c>
      <c r="C332" s="14" t="s">
        <v>3000</v>
      </c>
      <c r="D332" s="14" t="s">
        <v>3001</v>
      </c>
      <c r="E332" s="14" t="str">
        <f>"0,5576"</f>
        <v>0,5576</v>
      </c>
      <c r="F332" s="14" t="s">
        <v>332</v>
      </c>
      <c r="G332" s="15" t="s">
        <v>59</v>
      </c>
      <c r="H332" s="15" t="s">
        <v>205</v>
      </c>
      <c r="I332" s="15" t="s">
        <v>347</v>
      </c>
      <c r="J332" s="17"/>
      <c r="K332" s="40" t="str">
        <f>"167,5"</f>
        <v>167,5</v>
      </c>
      <c r="L332" s="17" t="str">
        <f>"93,3980"</f>
        <v>93,3980</v>
      </c>
      <c r="M332" s="14" t="s">
        <v>3002</v>
      </c>
    </row>
    <row r="333" spans="1:13">
      <c r="A333" s="17" t="s">
        <v>87</v>
      </c>
      <c r="B333" s="14" t="s">
        <v>3003</v>
      </c>
      <c r="C333" s="14" t="s">
        <v>3004</v>
      </c>
      <c r="D333" s="14" t="s">
        <v>3005</v>
      </c>
      <c r="E333" s="14" t="str">
        <f>"0,5542"</f>
        <v>0,5542</v>
      </c>
      <c r="F333" s="14" t="s">
        <v>91</v>
      </c>
      <c r="G333" s="16" t="s">
        <v>59</v>
      </c>
      <c r="H333" s="15" t="s">
        <v>59</v>
      </c>
      <c r="I333" s="16" t="s">
        <v>342</v>
      </c>
      <c r="J333" s="17"/>
      <c r="K333" s="40" t="str">
        <f>"145,0"</f>
        <v>145,0</v>
      </c>
      <c r="L333" s="17" t="str">
        <f>"80,3590"</f>
        <v>80,3590</v>
      </c>
      <c r="M333" s="14" t="s">
        <v>3006</v>
      </c>
    </row>
    <row r="334" spans="1:13">
      <c r="A334" s="20" t="s">
        <v>15</v>
      </c>
      <c r="B334" s="18" t="s">
        <v>2994</v>
      </c>
      <c r="C334" s="18" t="s">
        <v>3007</v>
      </c>
      <c r="D334" s="18" t="s">
        <v>2996</v>
      </c>
      <c r="E334" s="18" t="str">
        <f>"0,5498"</f>
        <v>0,5498</v>
      </c>
      <c r="F334" s="18" t="s">
        <v>2997</v>
      </c>
      <c r="G334" s="22" t="s">
        <v>421</v>
      </c>
      <c r="H334" s="19" t="s">
        <v>459</v>
      </c>
      <c r="I334" s="19" t="s">
        <v>682</v>
      </c>
      <c r="J334" s="20"/>
      <c r="K334" s="38" t="str">
        <f>"237,5"</f>
        <v>237,5</v>
      </c>
      <c r="L334" s="20" t="str">
        <f>"143,1129"</f>
        <v>143,1129</v>
      </c>
      <c r="M334" s="18" t="s">
        <v>2998</v>
      </c>
    </row>
    <row r="335" spans="1:13">
      <c r="B335" s="5" t="s">
        <v>40</v>
      </c>
    </row>
    <row r="336" spans="1:13" ht="18">
      <c r="B336" s="23" t="s">
        <v>830</v>
      </c>
      <c r="C336" s="23"/>
    </row>
    <row r="337" spans="2:6" ht="15.95">
      <c r="B337" s="95" t="s">
        <v>831</v>
      </c>
      <c r="C337" s="95"/>
    </row>
    <row r="338" spans="2:6" ht="14.1">
      <c r="B338" s="24"/>
      <c r="C338" s="24" t="s">
        <v>3008</v>
      </c>
    </row>
    <row r="339" spans="2:6" ht="14.1">
      <c r="B339" s="4" t="s">
        <v>833</v>
      </c>
      <c r="C339" s="4" t="s">
        <v>834</v>
      </c>
      <c r="D339" s="4" t="s">
        <v>835</v>
      </c>
      <c r="E339" s="4" t="s">
        <v>2294</v>
      </c>
      <c r="F339" s="4" t="s">
        <v>837</v>
      </c>
    </row>
    <row r="340" spans="2:6">
      <c r="B340" s="5" t="s">
        <v>2309</v>
      </c>
      <c r="C340" s="5" t="s">
        <v>857</v>
      </c>
      <c r="D340" s="6" t="s">
        <v>1563</v>
      </c>
      <c r="E340" s="6" t="s">
        <v>81</v>
      </c>
      <c r="F340" s="6" t="s">
        <v>3009</v>
      </c>
    </row>
    <row r="341" spans="2:6">
      <c r="B341" s="5" t="s">
        <v>42</v>
      </c>
      <c r="C341" s="5" t="s">
        <v>3010</v>
      </c>
      <c r="D341" s="6" t="s">
        <v>838</v>
      </c>
      <c r="E341" s="6" t="s">
        <v>26</v>
      </c>
      <c r="F341" s="6" t="s">
        <v>3011</v>
      </c>
    </row>
    <row r="342" spans="2:6">
      <c r="B342" s="5" t="s">
        <v>2295</v>
      </c>
      <c r="C342" s="5" t="s">
        <v>3010</v>
      </c>
      <c r="D342" s="6" t="s">
        <v>838</v>
      </c>
      <c r="E342" s="6" t="s">
        <v>35</v>
      </c>
      <c r="F342" s="6" t="s">
        <v>3012</v>
      </c>
    </row>
    <row r="344" spans="2:6" ht="14.1">
      <c r="B344" s="24"/>
      <c r="C344" s="24" t="s">
        <v>832</v>
      </c>
    </row>
    <row r="345" spans="2:6" ht="14.1">
      <c r="B345" s="4" t="s">
        <v>833</v>
      </c>
      <c r="C345" s="4" t="s">
        <v>834</v>
      </c>
      <c r="D345" s="4" t="s">
        <v>835</v>
      </c>
      <c r="E345" s="4" t="s">
        <v>2294</v>
      </c>
      <c r="F345" s="4" t="s">
        <v>837</v>
      </c>
    </row>
    <row r="346" spans="2:6">
      <c r="B346" s="5" t="s">
        <v>2348</v>
      </c>
      <c r="C346" s="5" t="s">
        <v>832</v>
      </c>
      <c r="D346" s="6" t="s">
        <v>850</v>
      </c>
      <c r="E346" s="6" t="s">
        <v>38</v>
      </c>
      <c r="F346" s="6" t="s">
        <v>3013</v>
      </c>
    </row>
    <row r="347" spans="2:6">
      <c r="B347" s="5" t="s">
        <v>2387</v>
      </c>
      <c r="C347" s="5" t="s">
        <v>832</v>
      </c>
      <c r="D347" s="6" t="s">
        <v>861</v>
      </c>
      <c r="E347" s="6" t="s">
        <v>49</v>
      </c>
      <c r="F347" s="6" t="s">
        <v>3014</v>
      </c>
    </row>
    <row r="348" spans="2:6">
      <c r="B348" s="5" t="s">
        <v>2364</v>
      </c>
      <c r="C348" s="5" t="s">
        <v>832</v>
      </c>
      <c r="D348" s="6" t="s">
        <v>844</v>
      </c>
      <c r="E348" s="6" t="s">
        <v>37</v>
      </c>
      <c r="F348" s="6" t="s">
        <v>3015</v>
      </c>
    </row>
    <row r="350" spans="2:6" ht="14.1">
      <c r="B350" s="24"/>
      <c r="C350" s="24" t="s">
        <v>847</v>
      </c>
    </row>
    <row r="351" spans="2:6" ht="14.1">
      <c r="B351" s="4" t="s">
        <v>833</v>
      </c>
      <c r="C351" s="4" t="s">
        <v>834</v>
      </c>
      <c r="D351" s="4" t="s">
        <v>835</v>
      </c>
      <c r="E351" s="4" t="s">
        <v>2294</v>
      </c>
      <c r="F351" s="4" t="s">
        <v>837</v>
      </c>
    </row>
    <row r="352" spans="2:6">
      <c r="B352" s="5" t="s">
        <v>2387</v>
      </c>
      <c r="C352" s="5" t="s">
        <v>884</v>
      </c>
      <c r="D352" s="6" t="s">
        <v>861</v>
      </c>
      <c r="E352" s="6" t="s">
        <v>49</v>
      </c>
      <c r="F352" s="6" t="s">
        <v>3016</v>
      </c>
    </row>
    <row r="353" spans="2:6">
      <c r="B353" s="5" t="s">
        <v>2380</v>
      </c>
      <c r="C353" s="5" t="s">
        <v>884</v>
      </c>
      <c r="D353" s="6" t="s">
        <v>844</v>
      </c>
      <c r="E353" s="6" t="s">
        <v>81</v>
      </c>
      <c r="F353" s="6" t="s">
        <v>3017</v>
      </c>
    </row>
    <row r="354" spans="2:6">
      <c r="B354" s="5" t="s">
        <v>1369</v>
      </c>
      <c r="C354" s="5" t="s">
        <v>848</v>
      </c>
      <c r="D354" s="6" t="s">
        <v>1563</v>
      </c>
      <c r="E354" s="6" t="s">
        <v>140</v>
      </c>
      <c r="F354" s="6" t="s">
        <v>3018</v>
      </c>
    </row>
    <row r="357" spans="2:6" ht="15.95">
      <c r="B357" s="95" t="s">
        <v>855</v>
      </c>
      <c r="C357" s="95"/>
    </row>
    <row r="358" spans="2:6" ht="14.1">
      <c r="B358" s="24"/>
      <c r="C358" s="24" t="s">
        <v>856</v>
      </c>
    </row>
    <row r="359" spans="2:6" ht="14.1">
      <c r="B359" s="4" t="s">
        <v>833</v>
      </c>
      <c r="C359" s="4" t="s">
        <v>834</v>
      </c>
      <c r="D359" s="4" t="s">
        <v>835</v>
      </c>
      <c r="E359" s="4" t="s">
        <v>2294</v>
      </c>
      <c r="F359" s="4" t="s">
        <v>837</v>
      </c>
    </row>
    <row r="360" spans="2:6">
      <c r="B360" s="5" t="s">
        <v>2718</v>
      </c>
      <c r="C360" s="5" t="s">
        <v>857</v>
      </c>
      <c r="D360" s="6" t="s">
        <v>888</v>
      </c>
      <c r="E360" s="6" t="s">
        <v>351</v>
      </c>
      <c r="F360" s="6" t="s">
        <v>3019</v>
      </c>
    </row>
    <row r="361" spans="2:6">
      <c r="B361" s="5" t="s">
        <v>2553</v>
      </c>
      <c r="C361" s="5" t="s">
        <v>3010</v>
      </c>
      <c r="D361" s="6" t="s">
        <v>868</v>
      </c>
      <c r="E361" s="6" t="s">
        <v>205</v>
      </c>
      <c r="F361" s="6" t="s">
        <v>3020</v>
      </c>
    </row>
    <row r="362" spans="2:6">
      <c r="B362" s="5" t="s">
        <v>2403</v>
      </c>
      <c r="C362" s="5" t="s">
        <v>857</v>
      </c>
      <c r="D362" s="6" t="s">
        <v>841</v>
      </c>
      <c r="E362" s="6" t="s">
        <v>69</v>
      </c>
      <c r="F362" s="6" t="s">
        <v>3021</v>
      </c>
    </row>
    <row r="364" spans="2:6" ht="14.1">
      <c r="B364" s="24"/>
      <c r="C364" s="24" t="s">
        <v>866</v>
      </c>
    </row>
    <row r="365" spans="2:6" ht="14.1">
      <c r="B365" s="4" t="s">
        <v>833</v>
      </c>
      <c r="C365" s="4" t="s">
        <v>834</v>
      </c>
      <c r="D365" s="4" t="s">
        <v>835</v>
      </c>
      <c r="E365" s="4" t="s">
        <v>2294</v>
      </c>
      <c r="F365" s="4" t="s">
        <v>837</v>
      </c>
    </row>
    <row r="366" spans="2:6">
      <c r="B366" s="5" t="s">
        <v>2414</v>
      </c>
      <c r="C366" s="5" t="s">
        <v>866</v>
      </c>
      <c r="D366" s="6" t="s">
        <v>850</v>
      </c>
      <c r="E366" s="6" t="s">
        <v>59</v>
      </c>
      <c r="F366" s="6" t="s">
        <v>3022</v>
      </c>
    </row>
    <row r="367" spans="2:6">
      <c r="B367" s="5" t="s">
        <v>2720</v>
      </c>
      <c r="C367" s="5" t="s">
        <v>866</v>
      </c>
      <c r="D367" s="6" t="s">
        <v>888</v>
      </c>
      <c r="E367" s="6" t="s">
        <v>506</v>
      </c>
      <c r="F367" s="6" t="s">
        <v>3023</v>
      </c>
    </row>
    <row r="368" spans="2:6">
      <c r="B368" s="5" t="s">
        <v>2484</v>
      </c>
      <c r="C368" s="5" t="s">
        <v>866</v>
      </c>
      <c r="D368" s="6" t="s">
        <v>861</v>
      </c>
      <c r="E368" s="6" t="s">
        <v>347</v>
      </c>
      <c r="F368" s="6" t="s">
        <v>3024</v>
      </c>
    </row>
    <row r="370" spans="2:6" ht="14.1">
      <c r="B370" s="24"/>
      <c r="C370" s="24" t="s">
        <v>832</v>
      </c>
    </row>
    <row r="371" spans="2:6" ht="14.1">
      <c r="B371" s="4" t="s">
        <v>833</v>
      </c>
      <c r="C371" s="4" t="s">
        <v>834</v>
      </c>
      <c r="D371" s="4" t="s">
        <v>835</v>
      </c>
      <c r="E371" s="4" t="s">
        <v>2294</v>
      </c>
      <c r="F371" s="4" t="s">
        <v>837</v>
      </c>
    </row>
    <row r="372" spans="2:6">
      <c r="B372" s="5" t="s">
        <v>2845</v>
      </c>
      <c r="C372" s="5" t="s">
        <v>832</v>
      </c>
      <c r="D372" s="6" t="s">
        <v>1349</v>
      </c>
      <c r="E372" s="6" t="s">
        <v>507</v>
      </c>
      <c r="F372" s="6" t="s">
        <v>3025</v>
      </c>
    </row>
    <row r="373" spans="2:6">
      <c r="B373" s="5" t="s">
        <v>2848</v>
      </c>
      <c r="C373" s="5" t="s">
        <v>832</v>
      </c>
      <c r="D373" s="6" t="s">
        <v>1349</v>
      </c>
      <c r="E373" s="6" t="s">
        <v>442</v>
      </c>
      <c r="F373" s="6" t="s">
        <v>3026</v>
      </c>
    </row>
    <row r="374" spans="2:6">
      <c r="B374" s="5" t="s">
        <v>2994</v>
      </c>
      <c r="C374" s="5" t="s">
        <v>832</v>
      </c>
      <c r="D374" s="6" t="s">
        <v>878</v>
      </c>
      <c r="E374" s="6" t="s">
        <v>682</v>
      </c>
      <c r="F374" s="6" t="s">
        <v>3027</v>
      </c>
    </row>
    <row r="376" spans="2:6" ht="14.1">
      <c r="B376" s="24"/>
      <c r="C376" s="24" t="s">
        <v>847</v>
      </c>
    </row>
    <row r="377" spans="2:6" ht="14.1">
      <c r="B377" s="4" t="s">
        <v>833</v>
      </c>
      <c r="C377" s="4" t="s">
        <v>834</v>
      </c>
      <c r="D377" s="4" t="s">
        <v>867</v>
      </c>
      <c r="E377" s="4" t="s">
        <v>2294</v>
      </c>
      <c r="F377" s="4" t="s">
        <v>837</v>
      </c>
    </row>
    <row r="378" spans="2:6">
      <c r="B378" s="5" t="s">
        <v>667</v>
      </c>
      <c r="C378" s="5" t="s">
        <v>881</v>
      </c>
      <c r="D378" s="6" t="s">
        <v>858</v>
      </c>
      <c r="E378" s="6" t="s">
        <v>85</v>
      </c>
      <c r="F378" s="6" t="s">
        <v>3028</v>
      </c>
    </row>
    <row r="379" spans="2:6">
      <c r="B379" s="5" t="s">
        <v>2839</v>
      </c>
      <c r="C379" s="5" t="s">
        <v>881</v>
      </c>
      <c r="D379" s="6" t="s">
        <v>888</v>
      </c>
      <c r="E379" s="6" t="s">
        <v>58</v>
      </c>
      <c r="F379" s="6" t="s">
        <v>3029</v>
      </c>
    </row>
    <row r="380" spans="2:6">
      <c r="B380" s="5" t="s">
        <v>2551</v>
      </c>
      <c r="C380" s="5" t="s">
        <v>881</v>
      </c>
      <c r="D380" s="6" t="s">
        <v>861</v>
      </c>
      <c r="E380" s="6" t="s">
        <v>70</v>
      </c>
      <c r="F380" s="6" t="s">
        <v>3030</v>
      </c>
    </row>
    <row r="381" spans="2:6" ht="12.75"/>
  </sheetData>
  <mergeCells count="31">
    <mergeCell ref="A213:L213"/>
    <mergeCell ref="A267:L267"/>
    <mergeCell ref="A301:L301"/>
    <mergeCell ref="A318:L318"/>
    <mergeCell ref="A328:L328"/>
    <mergeCell ref="A138:L138"/>
    <mergeCell ref="A178:L178"/>
    <mergeCell ref="A24:L24"/>
    <mergeCell ref="A36:L36"/>
    <mergeCell ref="A45:L45"/>
    <mergeCell ref="A56:L56"/>
    <mergeCell ref="A61:L61"/>
    <mergeCell ref="A64:L64"/>
    <mergeCell ref="A69:L69"/>
    <mergeCell ref="A75:L75"/>
    <mergeCell ref="A84:L84"/>
    <mergeCell ref="A104:L104"/>
    <mergeCell ref="M3:M4"/>
    <mergeCell ref="A5:L5"/>
    <mergeCell ref="A8:L8"/>
    <mergeCell ref="A17:L17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M279"/>
  <sheetViews>
    <sheetView topLeftCell="A131" workbookViewId="0">
      <selection activeCell="A140" sqref="A140"/>
    </sheetView>
  </sheetViews>
  <sheetFormatPr defaultColWidth="9.140625" defaultRowHeight="12.95"/>
  <cols>
    <col min="1" max="1" width="7.42578125" style="6" bestFit="1" customWidth="1"/>
    <col min="2" max="2" width="26.42578125" style="5" bestFit="1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26.85546875" style="5" bestFit="1" customWidth="1"/>
    <col min="7" max="10" width="5.42578125" style="6" bestFit="1" customWidth="1"/>
    <col min="11" max="11" width="11.28515625" style="39" bestFit="1" customWidth="1"/>
    <col min="12" max="12" width="8.42578125" style="6" bestFit="1" customWidth="1"/>
    <col min="13" max="13" width="22.42578125" style="5" bestFit="1" customWidth="1"/>
    <col min="14" max="16384" width="9.140625" style="3"/>
  </cols>
  <sheetData>
    <row r="1" spans="1:13" s="2" customFormat="1" ht="29.1" customHeight="1">
      <c r="A1" s="103" t="s">
        <v>3031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5</v>
      </c>
      <c r="F3" s="114" t="s">
        <v>6</v>
      </c>
      <c r="G3" s="114" t="s">
        <v>8</v>
      </c>
      <c r="H3" s="114"/>
      <c r="I3" s="114"/>
      <c r="J3" s="114"/>
      <c r="K3" s="117" t="s">
        <v>2294</v>
      </c>
      <c r="L3" s="114" t="s">
        <v>11</v>
      </c>
      <c r="M3" s="99" t="s">
        <v>12</v>
      </c>
    </row>
    <row r="4" spans="1:13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118"/>
      <c r="L4" s="113"/>
      <c r="M4" s="100"/>
    </row>
    <row r="5" spans="1:13" ht="15.95">
      <c r="A5" s="101" t="s">
        <v>14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3">
      <c r="A6" s="10" t="s">
        <v>15</v>
      </c>
      <c r="B6" s="7" t="s">
        <v>3032</v>
      </c>
      <c r="C6" s="7" t="s">
        <v>3033</v>
      </c>
      <c r="D6" s="7" t="s">
        <v>3034</v>
      </c>
      <c r="E6" s="7" t="str">
        <f>"1,4145"</f>
        <v>1,4145</v>
      </c>
      <c r="F6" s="7" t="s">
        <v>2513</v>
      </c>
      <c r="G6" s="8" t="s">
        <v>34</v>
      </c>
      <c r="H6" s="8" t="s">
        <v>25</v>
      </c>
      <c r="I6" s="9" t="s">
        <v>35</v>
      </c>
      <c r="J6" s="10"/>
      <c r="K6" s="41" t="str">
        <f>"55,0"</f>
        <v>55,0</v>
      </c>
      <c r="L6" s="10" t="str">
        <f>"77,7975"</f>
        <v>77,7975</v>
      </c>
      <c r="M6" s="7" t="s">
        <v>3035</v>
      </c>
    </row>
    <row r="7" spans="1:13">
      <c r="B7" s="5" t="s">
        <v>40</v>
      </c>
    </row>
    <row r="8" spans="1:13" ht="15.95">
      <c r="A8" s="102" t="s">
        <v>98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3">
      <c r="A9" s="10" t="s">
        <v>15</v>
      </c>
      <c r="B9" s="7" t="s">
        <v>897</v>
      </c>
      <c r="C9" s="7" t="s">
        <v>898</v>
      </c>
      <c r="D9" s="7" t="s">
        <v>899</v>
      </c>
      <c r="E9" s="7" t="str">
        <f>"1,2654"</f>
        <v>1,2654</v>
      </c>
      <c r="F9" s="7" t="s">
        <v>900</v>
      </c>
      <c r="G9" s="8" t="s">
        <v>103</v>
      </c>
      <c r="H9" s="8" t="s">
        <v>26</v>
      </c>
      <c r="I9" s="8" t="s">
        <v>32</v>
      </c>
      <c r="J9" s="10"/>
      <c r="K9" s="41" t="str">
        <f>"65,0"</f>
        <v>65,0</v>
      </c>
      <c r="L9" s="10" t="str">
        <f>"82,2510"</f>
        <v>82,2510</v>
      </c>
      <c r="M9" s="7" t="s">
        <v>901</v>
      </c>
    </row>
    <row r="10" spans="1:13">
      <c r="B10" s="5" t="s">
        <v>40</v>
      </c>
    </row>
    <row r="11" spans="1:13" ht="15.95">
      <c r="A11" s="102" t="s">
        <v>141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3">
      <c r="A12" s="10" t="s">
        <v>15</v>
      </c>
      <c r="B12" s="7" t="s">
        <v>3036</v>
      </c>
      <c r="C12" s="7" t="s">
        <v>3037</v>
      </c>
      <c r="D12" s="7" t="s">
        <v>3038</v>
      </c>
      <c r="E12" s="7" t="str">
        <f>"1,1985"</f>
        <v>1,1985</v>
      </c>
      <c r="F12" s="7" t="s">
        <v>1300</v>
      </c>
      <c r="G12" s="9" t="s">
        <v>32</v>
      </c>
      <c r="H12" s="8" t="s">
        <v>32</v>
      </c>
      <c r="I12" s="9" t="s">
        <v>33</v>
      </c>
      <c r="J12" s="10"/>
      <c r="K12" s="41" t="str">
        <f>"65,0"</f>
        <v>65,0</v>
      </c>
      <c r="L12" s="10" t="str">
        <f>"77,9025"</f>
        <v>77,9025</v>
      </c>
      <c r="M12" s="7" t="s">
        <v>3039</v>
      </c>
    </row>
    <row r="13" spans="1:13">
      <c r="B13" s="5" t="s">
        <v>40</v>
      </c>
    </row>
    <row r="14" spans="1:13" ht="15.95">
      <c r="A14" s="102" t="s">
        <v>195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3">
      <c r="A15" s="13" t="s">
        <v>15</v>
      </c>
      <c r="B15" s="11" t="s">
        <v>3040</v>
      </c>
      <c r="C15" s="11" t="s">
        <v>3041</v>
      </c>
      <c r="D15" s="11" t="s">
        <v>198</v>
      </c>
      <c r="E15" s="11" t="str">
        <f>"1,1236"</f>
        <v>1,1236</v>
      </c>
      <c r="F15" s="11" t="s">
        <v>1730</v>
      </c>
      <c r="G15" s="12" t="s">
        <v>80</v>
      </c>
      <c r="H15" s="12" t="s">
        <v>146</v>
      </c>
      <c r="I15" s="12" t="s">
        <v>120</v>
      </c>
      <c r="J15" s="13"/>
      <c r="K15" s="37" t="str">
        <f>"87,5"</f>
        <v>87,5</v>
      </c>
      <c r="L15" s="13" t="str">
        <f>"98,3150"</f>
        <v>98,3150</v>
      </c>
      <c r="M15" s="11" t="s">
        <v>3042</v>
      </c>
    </row>
    <row r="16" spans="1:13">
      <c r="A16" s="20" t="s">
        <v>62</v>
      </c>
      <c r="B16" s="18" t="s">
        <v>3043</v>
      </c>
      <c r="C16" s="18" t="s">
        <v>3044</v>
      </c>
      <c r="D16" s="18" t="s">
        <v>219</v>
      </c>
      <c r="E16" s="18" t="str">
        <f>"1,1295"</f>
        <v>1,1295</v>
      </c>
      <c r="F16" s="18" t="s">
        <v>91</v>
      </c>
      <c r="G16" s="22" t="s">
        <v>104</v>
      </c>
      <c r="H16" s="19" t="s">
        <v>104</v>
      </c>
      <c r="I16" s="22" t="s">
        <v>81</v>
      </c>
      <c r="J16" s="20"/>
      <c r="K16" s="38" t="str">
        <f>"77,5"</f>
        <v>77,5</v>
      </c>
      <c r="L16" s="20" t="str">
        <f>"87,5363"</f>
        <v>87,5363</v>
      </c>
      <c r="M16" s="18" t="s">
        <v>158</v>
      </c>
    </row>
    <row r="17" spans="1:13">
      <c r="B17" s="5" t="s">
        <v>40</v>
      </c>
    </row>
    <row r="18" spans="1:13" ht="15.95">
      <c r="A18" s="102" t="s">
        <v>241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1:13">
      <c r="A19" s="13" t="s">
        <v>15</v>
      </c>
      <c r="B19" s="11" t="s">
        <v>3045</v>
      </c>
      <c r="C19" s="11" t="s">
        <v>3046</v>
      </c>
      <c r="D19" s="11" t="s">
        <v>3047</v>
      </c>
      <c r="E19" s="11" t="str">
        <f>"1,0576"</f>
        <v>1,0576</v>
      </c>
      <c r="F19" s="11" t="s">
        <v>720</v>
      </c>
      <c r="G19" s="21" t="s">
        <v>56</v>
      </c>
      <c r="H19" s="12" t="s">
        <v>84</v>
      </c>
      <c r="I19" s="12" t="s">
        <v>145</v>
      </c>
      <c r="J19" s="13"/>
      <c r="K19" s="37" t="str">
        <f>"125,0"</f>
        <v>125,0</v>
      </c>
      <c r="L19" s="13" t="str">
        <f>"132,2000"</f>
        <v>132,2000</v>
      </c>
      <c r="M19" s="11" t="s">
        <v>799</v>
      </c>
    </row>
    <row r="20" spans="1:13">
      <c r="A20" s="20" t="s">
        <v>15</v>
      </c>
      <c r="B20" s="18" t="s">
        <v>1592</v>
      </c>
      <c r="C20" s="18" t="s">
        <v>1593</v>
      </c>
      <c r="D20" s="18" t="s">
        <v>252</v>
      </c>
      <c r="E20" s="18" t="str">
        <f>"1,0432"</f>
        <v>1,0432</v>
      </c>
      <c r="F20" s="18" t="s">
        <v>91</v>
      </c>
      <c r="G20" s="19" t="s">
        <v>38</v>
      </c>
      <c r="H20" s="19" t="s">
        <v>69</v>
      </c>
      <c r="I20" s="22" t="s">
        <v>56</v>
      </c>
      <c r="J20" s="20"/>
      <c r="K20" s="38" t="str">
        <f>"110,0"</f>
        <v>110,0</v>
      </c>
      <c r="L20" s="20" t="str">
        <f>"115,3258"</f>
        <v>115,3258</v>
      </c>
      <c r="M20" s="18" t="s">
        <v>1594</v>
      </c>
    </row>
    <row r="21" spans="1:13">
      <c r="B21" s="5" t="s">
        <v>40</v>
      </c>
    </row>
    <row r="22" spans="1:13" ht="15.95">
      <c r="A22" s="102" t="s">
        <v>301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1:13">
      <c r="A23" s="13" t="s">
        <v>15</v>
      </c>
      <c r="B23" s="11" t="s">
        <v>3048</v>
      </c>
      <c r="C23" s="11" t="s">
        <v>3049</v>
      </c>
      <c r="D23" s="11" t="s">
        <v>2220</v>
      </c>
      <c r="E23" s="11" t="str">
        <f>"0,9751"</f>
        <v>0,9751</v>
      </c>
      <c r="F23" s="11" t="s">
        <v>91</v>
      </c>
      <c r="G23" s="12" t="s">
        <v>145</v>
      </c>
      <c r="H23" s="21" t="s">
        <v>71</v>
      </c>
      <c r="I23" s="12" t="s">
        <v>71</v>
      </c>
      <c r="J23" s="13"/>
      <c r="K23" s="37" t="str">
        <f>"130,0"</f>
        <v>130,0</v>
      </c>
      <c r="L23" s="13" t="str">
        <f>"126,7630"</f>
        <v>126,7630</v>
      </c>
      <c r="M23" s="11" t="s">
        <v>911</v>
      </c>
    </row>
    <row r="24" spans="1:13">
      <c r="A24" s="20" t="s">
        <v>15</v>
      </c>
      <c r="B24" s="18" t="s">
        <v>3050</v>
      </c>
      <c r="C24" s="18" t="s">
        <v>3051</v>
      </c>
      <c r="D24" s="18" t="s">
        <v>3052</v>
      </c>
      <c r="E24" s="18" t="str">
        <f>"1,0185"</f>
        <v>1,0185</v>
      </c>
      <c r="F24" s="18" t="s">
        <v>3053</v>
      </c>
      <c r="G24" s="19" t="s">
        <v>80</v>
      </c>
      <c r="H24" s="22" t="s">
        <v>81</v>
      </c>
      <c r="I24" s="19" t="s">
        <v>67</v>
      </c>
      <c r="J24" s="20"/>
      <c r="K24" s="38" t="str">
        <f>"85,0"</f>
        <v>85,0</v>
      </c>
      <c r="L24" s="20" t="str">
        <f>"87,0054"</f>
        <v>87,0054</v>
      </c>
      <c r="M24" s="18" t="s">
        <v>158</v>
      </c>
    </row>
    <row r="25" spans="1:13">
      <c r="B25" s="5" t="s">
        <v>40</v>
      </c>
    </row>
    <row r="26" spans="1:13" ht="15.95">
      <c r="A26" s="102" t="s">
        <v>334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1:13">
      <c r="A27" s="13" t="s">
        <v>15</v>
      </c>
      <c r="B27" s="11" t="s">
        <v>3054</v>
      </c>
      <c r="C27" s="11" t="s">
        <v>3055</v>
      </c>
      <c r="D27" s="11" t="s">
        <v>516</v>
      </c>
      <c r="E27" s="11" t="str">
        <f>"0,9017"</f>
        <v>0,9017</v>
      </c>
      <c r="F27" s="11" t="s">
        <v>1155</v>
      </c>
      <c r="G27" s="12" t="s">
        <v>162</v>
      </c>
      <c r="H27" s="12" t="s">
        <v>85</v>
      </c>
      <c r="I27" s="21" t="s">
        <v>157</v>
      </c>
      <c r="J27" s="13"/>
      <c r="K27" s="37" t="str">
        <f>"127,5"</f>
        <v>127,5</v>
      </c>
      <c r="L27" s="13" t="str">
        <f>"114,9668"</f>
        <v>114,9668</v>
      </c>
      <c r="M27" s="11" t="s">
        <v>158</v>
      </c>
    </row>
    <row r="28" spans="1:13">
      <c r="A28" s="20" t="s">
        <v>62</v>
      </c>
      <c r="B28" s="18" t="s">
        <v>2223</v>
      </c>
      <c r="C28" s="18" t="s">
        <v>2224</v>
      </c>
      <c r="D28" s="18" t="s">
        <v>2114</v>
      </c>
      <c r="E28" s="18" t="str">
        <f>"0,9290"</f>
        <v>0,9290</v>
      </c>
      <c r="F28" s="18" t="s">
        <v>1378</v>
      </c>
      <c r="G28" s="19" t="s">
        <v>120</v>
      </c>
      <c r="H28" s="19" t="s">
        <v>37</v>
      </c>
      <c r="I28" s="19" t="s">
        <v>38</v>
      </c>
      <c r="J28" s="20"/>
      <c r="K28" s="38" t="str">
        <f>"100,0"</f>
        <v>100,0</v>
      </c>
      <c r="L28" s="20" t="str">
        <f>"92,9000"</f>
        <v>92,9000</v>
      </c>
      <c r="M28" s="18" t="s">
        <v>158</v>
      </c>
    </row>
    <row r="29" spans="1:13">
      <c r="B29" s="5" t="s">
        <v>40</v>
      </c>
    </row>
    <row r="30" spans="1:13" ht="15.95">
      <c r="A30" s="102" t="s">
        <v>598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1:13">
      <c r="A31" s="10" t="s">
        <v>15</v>
      </c>
      <c r="B31" s="7" t="s">
        <v>3056</v>
      </c>
      <c r="C31" s="7" t="s">
        <v>3057</v>
      </c>
      <c r="D31" s="7" t="s">
        <v>3058</v>
      </c>
      <c r="E31" s="7" t="str">
        <f>"0,8797"</f>
        <v>0,8797</v>
      </c>
      <c r="F31" s="7" t="s">
        <v>407</v>
      </c>
      <c r="G31" s="8" t="s">
        <v>85</v>
      </c>
      <c r="H31" s="8" t="s">
        <v>157</v>
      </c>
      <c r="I31" s="8" t="s">
        <v>209</v>
      </c>
      <c r="J31" s="10"/>
      <c r="K31" s="41" t="str">
        <f>"135,0"</f>
        <v>135,0</v>
      </c>
      <c r="L31" s="10" t="str">
        <f>"118,7595"</f>
        <v>118,7595</v>
      </c>
      <c r="M31" s="7" t="s">
        <v>3059</v>
      </c>
    </row>
    <row r="32" spans="1:13">
      <c r="B32" s="5" t="s">
        <v>40</v>
      </c>
    </row>
    <row r="33" spans="1:13" ht="15.95">
      <c r="A33" s="102" t="s">
        <v>98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1:13">
      <c r="A34" s="13" t="s">
        <v>15</v>
      </c>
      <c r="B34" s="11" t="s">
        <v>3060</v>
      </c>
      <c r="C34" s="11" t="s">
        <v>3061</v>
      </c>
      <c r="D34" s="11" t="s">
        <v>3062</v>
      </c>
      <c r="E34" s="11" t="str">
        <f>"1,1562"</f>
        <v>1,1562</v>
      </c>
      <c r="F34" s="11" t="s">
        <v>1897</v>
      </c>
      <c r="G34" s="12" t="s">
        <v>3063</v>
      </c>
      <c r="H34" s="12" t="s">
        <v>20</v>
      </c>
      <c r="I34" s="21" t="s">
        <v>135</v>
      </c>
      <c r="J34" s="13"/>
      <c r="K34" s="37" t="str">
        <f>"35,0"</f>
        <v>35,0</v>
      </c>
      <c r="L34" s="13" t="str">
        <f>"40,4670"</f>
        <v>40,4670</v>
      </c>
      <c r="M34" s="11" t="s">
        <v>158</v>
      </c>
    </row>
    <row r="35" spans="1:13">
      <c r="A35" s="20" t="s">
        <v>15</v>
      </c>
      <c r="B35" s="18" t="s">
        <v>3064</v>
      </c>
      <c r="C35" s="18" t="s">
        <v>3065</v>
      </c>
      <c r="D35" s="18" t="s">
        <v>1368</v>
      </c>
      <c r="E35" s="18" t="str">
        <f>"0,9913"</f>
        <v>0,9913</v>
      </c>
      <c r="F35" s="18" t="s">
        <v>1694</v>
      </c>
      <c r="G35" s="19" t="s">
        <v>26</v>
      </c>
      <c r="H35" s="19" t="s">
        <v>104</v>
      </c>
      <c r="I35" s="22" t="s">
        <v>81</v>
      </c>
      <c r="J35" s="20"/>
      <c r="K35" s="38" t="str">
        <f>"77,5"</f>
        <v>77,5</v>
      </c>
      <c r="L35" s="20" t="str">
        <f>"76,8257"</f>
        <v>76,8257</v>
      </c>
      <c r="M35" s="18" t="s">
        <v>158</v>
      </c>
    </row>
    <row r="36" spans="1:13">
      <c r="B36" s="5" t="s">
        <v>40</v>
      </c>
    </row>
    <row r="37" spans="1:13" ht="15.95">
      <c r="A37" s="102" t="s">
        <v>195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1:13">
      <c r="A38" s="13" t="s">
        <v>15</v>
      </c>
      <c r="B38" s="11" t="s">
        <v>3066</v>
      </c>
      <c r="C38" s="11" t="s">
        <v>3067</v>
      </c>
      <c r="D38" s="11" t="s">
        <v>212</v>
      </c>
      <c r="E38" s="11" t="str">
        <f>"0,8635"</f>
        <v>0,8635</v>
      </c>
      <c r="F38" s="11" t="s">
        <v>1694</v>
      </c>
      <c r="G38" s="12" t="s">
        <v>71</v>
      </c>
      <c r="H38" s="12" t="s">
        <v>59</v>
      </c>
      <c r="I38" s="12" t="s">
        <v>342</v>
      </c>
      <c r="J38" s="13"/>
      <c r="K38" s="37" t="str">
        <f>"152,5"</f>
        <v>152,5</v>
      </c>
      <c r="L38" s="13" t="str">
        <f>"131,6837"</f>
        <v>131,6837</v>
      </c>
      <c r="M38" s="11" t="s">
        <v>158</v>
      </c>
    </row>
    <row r="39" spans="1:13">
      <c r="A39" s="17" t="s">
        <v>62</v>
      </c>
      <c r="B39" s="14" t="s">
        <v>3068</v>
      </c>
      <c r="C39" s="14" t="s">
        <v>3069</v>
      </c>
      <c r="D39" s="14" t="s">
        <v>235</v>
      </c>
      <c r="E39" s="14" t="str">
        <f>"0,8621"</f>
        <v>0,8621</v>
      </c>
      <c r="F39" s="14" t="s">
        <v>3070</v>
      </c>
      <c r="G39" s="15" t="s">
        <v>71</v>
      </c>
      <c r="H39" s="15" t="s">
        <v>147</v>
      </c>
      <c r="I39" s="16" t="s">
        <v>58</v>
      </c>
      <c r="J39" s="17"/>
      <c r="K39" s="40" t="str">
        <f>"137,5"</f>
        <v>137,5</v>
      </c>
      <c r="L39" s="17" t="str">
        <f>"118,5388"</f>
        <v>118,5388</v>
      </c>
      <c r="M39" s="14" t="s">
        <v>3071</v>
      </c>
    </row>
    <row r="40" spans="1:13">
      <c r="A40" s="20" t="s">
        <v>15</v>
      </c>
      <c r="B40" s="18" t="s">
        <v>3072</v>
      </c>
      <c r="C40" s="18" t="s">
        <v>3073</v>
      </c>
      <c r="D40" s="18" t="s">
        <v>2353</v>
      </c>
      <c r="E40" s="18" t="str">
        <f>"0,8787"</f>
        <v>0,8787</v>
      </c>
      <c r="F40" s="18" t="s">
        <v>3074</v>
      </c>
      <c r="G40" s="19" t="s">
        <v>48</v>
      </c>
      <c r="H40" s="19" t="s">
        <v>32</v>
      </c>
      <c r="I40" s="19" t="s">
        <v>57</v>
      </c>
      <c r="J40" s="20"/>
      <c r="K40" s="38" t="str">
        <f>"67,5"</f>
        <v>67,5</v>
      </c>
      <c r="L40" s="20" t="str">
        <f>"122,1832"</f>
        <v>122,1832</v>
      </c>
      <c r="M40" s="18" t="s">
        <v>158</v>
      </c>
    </row>
    <row r="41" spans="1:13">
      <c r="B41" s="5" t="s">
        <v>40</v>
      </c>
    </row>
    <row r="42" spans="1:13" ht="15.95">
      <c r="A42" s="102" t="s">
        <v>241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</row>
    <row r="43" spans="1:13">
      <c r="A43" s="13" t="s">
        <v>15</v>
      </c>
      <c r="B43" s="11" t="s">
        <v>3075</v>
      </c>
      <c r="C43" s="11" t="s">
        <v>3076</v>
      </c>
      <c r="D43" s="11" t="s">
        <v>3077</v>
      </c>
      <c r="E43" s="11" t="str">
        <f>"0,8035"</f>
        <v>0,8035</v>
      </c>
      <c r="F43" s="11" t="s">
        <v>2418</v>
      </c>
      <c r="G43" s="21" t="s">
        <v>36</v>
      </c>
      <c r="H43" s="21" t="s">
        <v>36</v>
      </c>
      <c r="I43" s="12" t="s">
        <v>36</v>
      </c>
      <c r="J43" s="13"/>
      <c r="K43" s="37" t="str">
        <f>"90,0"</f>
        <v>90,0</v>
      </c>
      <c r="L43" s="13" t="str">
        <f>"72,3150"</f>
        <v>72,3150</v>
      </c>
      <c r="M43" s="11" t="s">
        <v>158</v>
      </c>
    </row>
    <row r="44" spans="1:13">
      <c r="A44" s="17" t="s">
        <v>15</v>
      </c>
      <c r="B44" s="14" t="s">
        <v>3078</v>
      </c>
      <c r="C44" s="14" t="s">
        <v>3079</v>
      </c>
      <c r="D44" s="14" t="s">
        <v>377</v>
      </c>
      <c r="E44" s="14" t="str">
        <f>"0,7823"</f>
        <v>0,7823</v>
      </c>
      <c r="F44" s="14" t="s">
        <v>3080</v>
      </c>
      <c r="G44" s="15" t="s">
        <v>59</v>
      </c>
      <c r="H44" s="16" t="s">
        <v>205</v>
      </c>
      <c r="I44" s="15" t="s">
        <v>151</v>
      </c>
      <c r="J44" s="17"/>
      <c r="K44" s="40" t="str">
        <f>"160,0"</f>
        <v>160,0</v>
      </c>
      <c r="L44" s="17" t="str">
        <f>"125,1680"</f>
        <v>125,1680</v>
      </c>
      <c r="M44" s="14" t="s">
        <v>1514</v>
      </c>
    </row>
    <row r="45" spans="1:13">
      <c r="A45" s="17" t="s">
        <v>15</v>
      </c>
      <c r="B45" s="14" t="s">
        <v>2467</v>
      </c>
      <c r="C45" s="14" t="s">
        <v>2468</v>
      </c>
      <c r="D45" s="14" t="s">
        <v>2469</v>
      </c>
      <c r="E45" s="14" t="str">
        <f>"0,7775"</f>
        <v>0,7775</v>
      </c>
      <c r="F45" s="14" t="s">
        <v>2470</v>
      </c>
      <c r="G45" s="15" t="s">
        <v>37</v>
      </c>
      <c r="H45" s="15" t="s">
        <v>38</v>
      </c>
      <c r="I45" s="15" t="s">
        <v>49</v>
      </c>
      <c r="J45" s="17"/>
      <c r="K45" s="40" t="str">
        <f>"105,0"</f>
        <v>105,0</v>
      </c>
      <c r="L45" s="17" t="str">
        <f>"122,5379"</f>
        <v>122,5379</v>
      </c>
      <c r="M45" s="14" t="s">
        <v>2471</v>
      </c>
    </row>
    <row r="46" spans="1:13">
      <c r="A46" s="17" t="s">
        <v>62</v>
      </c>
      <c r="B46" s="14" t="s">
        <v>2229</v>
      </c>
      <c r="C46" s="14" t="s">
        <v>2232</v>
      </c>
      <c r="D46" s="14" t="s">
        <v>2231</v>
      </c>
      <c r="E46" s="14" t="str">
        <f>"0,7942"</f>
        <v>0,7942</v>
      </c>
      <c r="F46" s="14" t="s">
        <v>129</v>
      </c>
      <c r="G46" s="15" t="s">
        <v>81</v>
      </c>
      <c r="H46" s="15" t="s">
        <v>67</v>
      </c>
      <c r="I46" s="15" t="s">
        <v>120</v>
      </c>
      <c r="J46" s="17"/>
      <c r="K46" s="40" t="str">
        <f>"87,5"</f>
        <v>87,5</v>
      </c>
      <c r="L46" s="17" t="str">
        <f>"95,8997"</f>
        <v>95,8997</v>
      </c>
      <c r="M46" s="14" t="s">
        <v>158</v>
      </c>
    </row>
    <row r="47" spans="1:13">
      <c r="A47" s="20" t="s">
        <v>15</v>
      </c>
      <c r="B47" s="18" t="s">
        <v>3081</v>
      </c>
      <c r="C47" s="18" t="s">
        <v>3082</v>
      </c>
      <c r="D47" s="18" t="s">
        <v>925</v>
      </c>
      <c r="E47" s="18" t="str">
        <f>"0,7785"</f>
        <v>0,7785</v>
      </c>
      <c r="F47" s="18" t="s">
        <v>1036</v>
      </c>
      <c r="G47" s="19" t="s">
        <v>32</v>
      </c>
      <c r="H47" s="19" t="s">
        <v>33</v>
      </c>
      <c r="I47" s="22" t="s">
        <v>140</v>
      </c>
      <c r="J47" s="20"/>
      <c r="K47" s="38" t="str">
        <f>"70,0"</f>
        <v>70,0</v>
      </c>
      <c r="L47" s="20" t="str">
        <f>"103,5405"</f>
        <v>103,5405</v>
      </c>
      <c r="M47" s="18" t="s">
        <v>158</v>
      </c>
    </row>
    <row r="48" spans="1:13">
      <c r="B48" s="5" t="s">
        <v>40</v>
      </c>
    </row>
    <row r="49" spans="1:13" ht="15.95">
      <c r="A49" s="102" t="s">
        <v>301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1:13">
      <c r="A50" s="13" t="s">
        <v>15</v>
      </c>
      <c r="B50" s="11" t="s">
        <v>3083</v>
      </c>
      <c r="C50" s="11" t="s">
        <v>3084</v>
      </c>
      <c r="D50" s="11" t="s">
        <v>331</v>
      </c>
      <c r="E50" s="11" t="str">
        <f>"0,7126"</f>
        <v>0,7126</v>
      </c>
      <c r="F50" s="11" t="s">
        <v>3085</v>
      </c>
      <c r="G50" s="12" t="s">
        <v>209</v>
      </c>
      <c r="H50" s="21" t="s">
        <v>205</v>
      </c>
      <c r="I50" s="21" t="s">
        <v>205</v>
      </c>
      <c r="J50" s="13"/>
      <c r="K50" s="37" t="str">
        <f>"135,0"</f>
        <v>135,0</v>
      </c>
      <c r="L50" s="13" t="str">
        <f>"96,2010"</f>
        <v>96,2010</v>
      </c>
      <c r="M50" s="11" t="s">
        <v>158</v>
      </c>
    </row>
    <row r="51" spans="1:13">
      <c r="A51" s="17" t="s">
        <v>15</v>
      </c>
      <c r="B51" s="14" t="s">
        <v>3086</v>
      </c>
      <c r="C51" s="14" t="s">
        <v>3087</v>
      </c>
      <c r="D51" s="14" t="s">
        <v>331</v>
      </c>
      <c r="E51" s="14" t="str">
        <f>"0,7126"</f>
        <v>0,7126</v>
      </c>
      <c r="F51" s="14" t="s">
        <v>1461</v>
      </c>
      <c r="G51" s="15" t="s">
        <v>205</v>
      </c>
      <c r="H51" s="16" t="s">
        <v>152</v>
      </c>
      <c r="I51" s="15" t="s">
        <v>152</v>
      </c>
      <c r="J51" s="17"/>
      <c r="K51" s="40" t="str">
        <f>"165,0"</f>
        <v>165,0</v>
      </c>
      <c r="L51" s="17" t="str">
        <f>"117,5790"</f>
        <v>117,5790</v>
      </c>
      <c r="M51" s="14" t="s">
        <v>3088</v>
      </c>
    </row>
    <row r="52" spans="1:13">
      <c r="A52" s="17" t="s">
        <v>15</v>
      </c>
      <c r="B52" s="14" t="s">
        <v>3089</v>
      </c>
      <c r="C52" s="14" t="s">
        <v>3090</v>
      </c>
      <c r="D52" s="14" t="s">
        <v>419</v>
      </c>
      <c r="E52" s="14" t="str">
        <f>"0,7166"</f>
        <v>0,7166</v>
      </c>
      <c r="F52" s="14" t="s">
        <v>1590</v>
      </c>
      <c r="G52" s="15" t="s">
        <v>399</v>
      </c>
      <c r="H52" s="15" t="s">
        <v>495</v>
      </c>
      <c r="I52" s="15" t="s">
        <v>436</v>
      </c>
      <c r="J52" s="15" t="s">
        <v>441</v>
      </c>
      <c r="K52" s="40" t="str">
        <f>"215,0"</f>
        <v>215,0</v>
      </c>
      <c r="L52" s="17" t="str">
        <f>"154,0690"</f>
        <v>154,0690</v>
      </c>
      <c r="M52" s="14" t="s">
        <v>158</v>
      </c>
    </row>
    <row r="53" spans="1:13">
      <c r="A53" s="17" t="s">
        <v>62</v>
      </c>
      <c r="B53" s="14" t="s">
        <v>3091</v>
      </c>
      <c r="C53" s="14" t="s">
        <v>345</v>
      </c>
      <c r="D53" s="14" t="s">
        <v>1421</v>
      </c>
      <c r="E53" s="14" t="str">
        <f>"0,7179"</f>
        <v>0,7179</v>
      </c>
      <c r="F53" s="14" t="s">
        <v>3092</v>
      </c>
      <c r="G53" s="15" t="s">
        <v>383</v>
      </c>
      <c r="H53" s="16" t="s">
        <v>399</v>
      </c>
      <c r="I53" s="16" t="s">
        <v>399</v>
      </c>
      <c r="J53" s="17"/>
      <c r="K53" s="40" t="str">
        <f>"195,0"</f>
        <v>195,0</v>
      </c>
      <c r="L53" s="17" t="str">
        <f>"139,9905"</f>
        <v>139,9905</v>
      </c>
      <c r="M53" s="14" t="s">
        <v>3093</v>
      </c>
    </row>
    <row r="54" spans="1:13">
      <c r="A54" s="17" t="s">
        <v>73</v>
      </c>
      <c r="B54" s="14" t="s">
        <v>3094</v>
      </c>
      <c r="C54" s="14" t="s">
        <v>3095</v>
      </c>
      <c r="D54" s="14" t="s">
        <v>1661</v>
      </c>
      <c r="E54" s="14" t="str">
        <f>"0,7228"</f>
        <v>0,7228</v>
      </c>
      <c r="F54" s="14" t="s">
        <v>3096</v>
      </c>
      <c r="G54" s="15" t="s">
        <v>392</v>
      </c>
      <c r="H54" s="16" t="s">
        <v>743</v>
      </c>
      <c r="I54" s="16" t="s">
        <v>743</v>
      </c>
      <c r="J54" s="17"/>
      <c r="K54" s="40" t="str">
        <f>"190,0"</f>
        <v>190,0</v>
      </c>
      <c r="L54" s="17" t="str">
        <f>"137,3320"</f>
        <v>137,3320</v>
      </c>
      <c r="M54" s="14" t="s">
        <v>3097</v>
      </c>
    </row>
    <row r="55" spans="1:13">
      <c r="A55" s="17" t="s">
        <v>75</v>
      </c>
      <c r="B55" s="14" t="s">
        <v>3098</v>
      </c>
      <c r="C55" s="14" t="s">
        <v>1104</v>
      </c>
      <c r="D55" s="14" t="s">
        <v>331</v>
      </c>
      <c r="E55" s="14" t="str">
        <f>"0,7126"</f>
        <v>0,7126</v>
      </c>
      <c r="F55" s="14" t="s">
        <v>176</v>
      </c>
      <c r="G55" s="15" t="s">
        <v>398</v>
      </c>
      <c r="H55" s="15" t="s">
        <v>453</v>
      </c>
      <c r="I55" s="16" t="s">
        <v>454</v>
      </c>
      <c r="J55" s="17"/>
      <c r="K55" s="40" t="str">
        <f>"187,5"</f>
        <v>187,5</v>
      </c>
      <c r="L55" s="17" t="str">
        <f>"133,6125"</f>
        <v>133,6125</v>
      </c>
      <c r="M55" s="14" t="s">
        <v>3099</v>
      </c>
    </row>
    <row r="56" spans="1:13">
      <c r="A56" s="17" t="s">
        <v>87</v>
      </c>
      <c r="B56" s="14" t="s">
        <v>3100</v>
      </c>
      <c r="C56" s="14" t="s">
        <v>3101</v>
      </c>
      <c r="D56" s="14" t="s">
        <v>390</v>
      </c>
      <c r="E56" s="14" t="str">
        <f>"0,7200"</f>
        <v>0,7200</v>
      </c>
      <c r="F56" s="14" t="s">
        <v>3102</v>
      </c>
      <c r="G56" s="15" t="s">
        <v>248</v>
      </c>
      <c r="H56" s="15" t="s">
        <v>351</v>
      </c>
      <c r="I56" s="16" t="s">
        <v>452</v>
      </c>
      <c r="J56" s="17"/>
      <c r="K56" s="40" t="str">
        <f>"175,0"</f>
        <v>175,0</v>
      </c>
      <c r="L56" s="17" t="str">
        <f>"126,0000"</f>
        <v>126,0000</v>
      </c>
      <c r="M56" s="14" t="s">
        <v>3103</v>
      </c>
    </row>
    <row r="57" spans="1:13">
      <c r="A57" s="17" t="s">
        <v>168</v>
      </c>
      <c r="B57" s="14" t="s">
        <v>1007</v>
      </c>
      <c r="C57" s="14" t="s">
        <v>1008</v>
      </c>
      <c r="D57" s="14" t="s">
        <v>308</v>
      </c>
      <c r="E57" s="14" t="str">
        <f>"0,7132"</f>
        <v>0,7132</v>
      </c>
      <c r="F57" s="14" t="s">
        <v>1009</v>
      </c>
      <c r="G57" s="15" t="s">
        <v>427</v>
      </c>
      <c r="H57" s="15" t="s">
        <v>550</v>
      </c>
      <c r="I57" s="16" t="s">
        <v>351</v>
      </c>
      <c r="J57" s="17"/>
      <c r="K57" s="40" t="str">
        <f>"172,5"</f>
        <v>172,5</v>
      </c>
      <c r="L57" s="17" t="str">
        <f>"123,0270"</f>
        <v>123,0270</v>
      </c>
      <c r="M57" s="14" t="s">
        <v>1010</v>
      </c>
    </row>
    <row r="58" spans="1:13">
      <c r="A58" s="17" t="s">
        <v>172</v>
      </c>
      <c r="B58" s="14" t="s">
        <v>3086</v>
      </c>
      <c r="C58" s="14" t="s">
        <v>3104</v>
      </c>
      <c r="D58" s="14" t="s">
        <v>331</v>
      </c>
      <c r="E58" s="14" t="str">
        <f>"0,7126"</f>
        <v>0,7126</v>
      </c>
      <c r="F58" s="14" t="s">
        <v>1461</v>
      </c>
      <c r="G58" s="15" t="s">
        <v>205</v>
      </c>
      <c r="H58" s="16" t="s">
        <v>152</v>
      </c>
      <c r="I58" s="15" t="s">
        <v>152</v>
      </c>
      <c r="J58" s="17"/>
      <c r="K58" s="40" t="str">
        <f>"165,0"</f>
        <v>165,0</v>
      </c>
      <c r="L58" s="17" t="str">
        <f>"117,5790"</f>
        <v>117,5790</v>
      </c>
      <c r="M58" s="14" t="s">
        <v>3088</v>
      </c>
    </row>
    <row r="59" spans="1:13">
      <c r="A59" s="17" t="s">
        <v>178</v>
      </c>
      <c r="B59" s="14" t="s">
        <v>1649</v>
      </c>
      <c r="C59" s="14" t="s">
        <v>1650</v>
      </c>
      <c r="D59" s="14" t="s">
        <v>1403</v>
      </c>
      <c r="E59" s="14" t="str">
        <f>"0,7193"</f>
        <v>0,7193</v>
      </c>
      <c r="F59" s="14" t="s">
        <v>1651</v>
      </c>
      <c r="G59" s="15" t="s">
        <v>59</v>
      </c>
      <c r="H59" s="15" t="s">
        <v>205</v>
      </c>
      <c r="I59" s="15" t="s">
        <v>427</v>
      </c>
      <c r="J59" s="17"/>
      <c r="K59" s="40" t="str">
        <f>"162,5"</f>
        <v>162,5</v>
      </c>
      <c r="L59" s="17" t="str">
        <f>"116,8862"</f>
        <v>116,8862</v>
      </c>
      <c r="M59" s="14" t="s">
        <v>1652</v>
      </c>
    </row>
    <row r="60" spans="1:13">
      <c r="A60" s="17" t="s">
        <v>183</v>
      </c>
      <c r="B60" s="14" t="s">
        <v>3105</v>
      </c>
      <c r="C60" s="14" t="s">
        <v>3106</v>
      </c>
      <c r="D60" s="14" t="s">
        <v>434</v>
      </c>
      <c r="E60" s="14" t="str">
        <f>"0,7152"</f>
        <v>0,7152</v>
      </c>
      <c r="F60" s="14" t="s">
        <v>426</v>
      </c>
      <c r="G60" s="15" t="s">
        <v>59</v>
      </c>
      <c r="H60" s="15" t="s">
        <v>60</v>
      </c>
      <c r="I60" s="16" t="s">
        <v>205</v>
      </c>
      <c r="J60" s="17"/>
      <c r="K60" s="40" t="str">
        <f>"150,0"</f>
        <v>150,0</v>
      </c>
      <c r="L60" s="17" t="str">
        <f>"107,2800"</f>
        <v>107,2800</v>
      </c>
      <c r="M60" s="14" t="s">
        <v>3107</v>
      </c>
    </row>
    <row r="61" spans="1:13">
      <c r="A61" s="17" t="s">
        <v>186</v>
      </c>
      <c r="B61" s="14" t="s">
        <v>3108</v>
      </c>
      <c r="C61" s="14" t="s">
        <v>3109</v>
      </c>
      <c r="D61" s="14" t="s">
        <v>1430</v>
      </c>
      <c r="E61" s="14" t="str">
        <f>"0,7278"</f>
        <v>0,7278</v>
      </c>
      <c r="F61" s="14" t="s">
        <v>3110</v>
      </c>
      <c r="G61" s="15" t="s">
        <v>58</v>
      </c>
      <c r="H61" s="16" t="s">
        <v>59</v>
      </c>
      <c r="I61" s="15" t="s">
        <v>59</v>
      </c>
      <c r="J61" s="17"/>
      <c r="K61" s="40" t="str">
        <f>"145,0"</f>
        <v>145,0</v>
      </c>
      <c r="L61" s="17" t="str">
        <f>"105,5310"</f>
        <v>105,5310</v>
      </c>
      <c r="M61" s="14" t="s">
        <v>3111</v>
      </c>
    </row>
    <row r="62" spans="1:13">
      <c r="A62" s="17" t="s">
        <v>556</v>
      </c>
      <c r="B62" s="14" t="s">
        <v>3112</v>
      </c>
      <c r="C62" s="14" t="s">
        <v>3113</v>
      </c>
      <c r="D62" s="14" t="s">
        <v>1013</v>
      </c>
      <c r="E62" s="14" t="str">
        <f>"0,7307"</f>
        <v>0,7307</v>
      </c>
      <c r="F62" s="14" t="s">
        <v>91</v>
      </c>
      <c r="G62" s="15" t="s">
        <v>145</v>
      </c>
      <c r="H62" s="16" t="s">
        <v>209</v>
      </c>
      <c r="I62" s="16" t="s">
        <v>209</v>
      </c>
      <c r="J62" s="17"/>
      <c r="K62" s="40" t="str">
        <f>"125,0"</f>
        <v>125,0</v>
      </c>
      <c r="L62" s="17" t="str">
        <f>"91,3375"</f>
        <v>91,3375</v>
      </c>
      <c r="M62" s="14" t="s">
        <v>158</v>
      </c>
    </row>
    <row r="63" spans="1:13">
      <c r="A63" s="17" t="s">
        <v>15</v>
      </c>
      <c r="B63" s="14" t="s">
        <v>3089</v>
      </c>
      <c r="C63" s="14" t="s">
        <v>3114</v>
      </c>
      <c r="D63" s="14" t="s">
        <v>419</v>
      </c>
      <c r="E63" s="14" t="str">
        <f>"0,7166"</f>
        <v>0,7166</v>
      </c>
      <c r="F63" s="14" t="s">
        <v>1590</v>
      </c>
      <c r="G63" s="15" t="s">
        <v>399</v>
      </c>
      <c r="H63" s="15" t="s">
        <v>495</v>
      </c>
      <c r="I63" s="15" t="s">
        <v>436</v>
      </c>
      <c r="J63" s="15" t="s">
        <v>441</v>
      </c>
      <c r="K63" s="40" t="str">
        <f>"215,0"</f>
        <v>215,0</v>
      </c>
      <c r="L63" s="17" t="str">
        <f>"154,8393"</f>
        <v>154,8393</v>
      </c>
      <c r="M63" s="14" t="s">
        <v>158</v>
      </c>
    </row>
    <row r="64" spans="1:13">
      <c r="A64" s="17" t="s">
        <v>62</v>
      </c>
      <c r="B64" s="14" t="s">
        <v>3115</v>
      </c>
      <c r="C64" s="14" t="s">
        <v>3116</v>
      </c>
      <c r="D64" s="14" t="s">
        <v>331</v>
      </c>
      <c r="E64" s="14" t="str">
        <f>"0,7126"</f>
        <v>0,7126</v>
      </c>
      <c r="F64" s="14" t="s">
        <v>644</v>
      </c>
      <c r="G64" s="15" t="s">
        <v>71</v>
      </c>
      <c r="H64" s="15" t="s">
        <v>209</v>
      </c>
      <c r="I64" s="17"/>
      <c r="J64" s="17"/>
      <c r="K64" s="40" t="str">
        <f>"135,0"</f>
        <v>135,0</v>
      </c>
      <c r="L64" s="17" t="str">
        <f>"101,9731"</f>
        <v>101,9731</v>
      </c>
      <c r="M64" s="14" t="s">
        <v>3117</v>
      </c>
    </row>
    <row r="65" spans="1:13">
      <c r="A65" s="17" t="s">
        <v>15</v>
      </c>
      <c r="B65" s="14" t="s">
        <v>3100</v>
      </c>
      <c r="C65" s="14" t="s">
        <v>3118</v>
      </c>
      <c r="D65" s="14" t="s">
        <v>390</v>
      </c>
      <c r="E65" s="14" t="str">
        <f>"0,7200"</f>
        <v>0,7200</v>
      </c>
      <c r="F65" s="14" t="s">
        <v>3119</v>
      </c>
      <c r="G65" s="15" t="s">
        <v>248</v>
      </c>
      <c r="H65" s="15" t="s">
        <v>351</v>
      </c>
      <c r="I65" s="16" t="s">
        <v>452</v>
      </c>
      <c r="J65" s="17"/>
      <c r="K65" s="40" t="str">
        <f>"175,0"</f>
        <v>175,0</v>
      </c>
      <c r="L65" s="17" t="str">
        <f>"144,9000"</f>
        <v>144,9000</v>
      </c>
      <c r="M65" s="14" t="s">
        <v>3103</v>
      </c>
    </row>
    <row r="66" spans="1:13">
      <c r="A66" s="17" t="s">
        <v>62</v>
      </c>
      <c r="B66" s="14" t="s">
        <v>3120</v>
      </c>
      <c r="C66" s="14" t="s">
        <v>3121</v>
      </c>
      <c r="D66" s="14" t="s">
        <v>2095</v>
      </c>
      <c r="E66" s="14" t="str">
        <f>"0,7271"</f>
        <v>0,7271</v>
      </c>
      <c r="F66" s="14" t="s">
        <v>3122</v>
      </c>
      <c r="G66" s="16" t="s">
        <v>84</v>
      </c>
      <c r="H66" s="15" t="s">
        <v>84</v>
      </c>
      <c r="I66" s="15" t="s">
        <v>145</v>
      </c>
      <c r="J66" s="17"/>
      <c r="K66" s="40" t="str">
        <f>"125,0"</f>
        <v>125,0</v>
      </c>
      <c r="L66" s="17" t="str">
        <f>"107,8835"</f>
        <v>107,8835</v>
      </c>
      <c r="M66" s="14" t="s">
        <v>158</v>
      </c>
    </row>
    <row r="67" spans="1:13">
      <c r="A67" s="17" t="s">
        <v>15</v>
      </c>
      <c r="B67" s="14" t="s">
        <v>3123</v>
      </c>
      <c r="C67" s="14" t="s">
        <v>3124</v>
      </c>
      <c r="D67" s="14" t="s">
        <v>3125</v>
      </c>
      <c r="E67" s="14" t="str">
        <f>"0,7665"</f>
        <v>0,7665</v>
      </c>
      <c r="F67" s="14" t="s">
        <v>813</v>
      </c>
      <c r="G67" s="15" t="s">
        <v>38</v>
      </c>
      <c r="H67" s="15" t="s">
        <v>46</v>
      </c>
      <c r="I67" s="16" t="s">
        <v>49</v>
      </c>
      <c r="J67" s="17"/>
      <c r="K67" s="40" t="str">
        <f>"102,5"</f>
        <v>102,5</v>
      </c>
      <c r="L67" s="17" t="str">
        <f>"130,7342"</f>
        <v>130,7342</v>
      </c>
      <c r="M67" s="14" t="s">
        <v>158</v>
      </c>
    </row>
    <row r="68" spans="1:13">
      <c r="A68" s="20" t="s">
        <v>62</v>
      </c>
      <c r="B68" s="18" t="s">
        <v>977</v>
      </c>
      <c r="C68" s="18" t="s">
        <v>978</v>
      </c>
      <c r="D68" s="18" t="s">
        <v>3125</v>
      </c>
      <c r="E68" s="18" t="str">
        <f>"0,7665"</f>
        <v>0,7665</v>
      </c>
      <c r="F68" s="18" t="s">
        <v>3126</v>
      </c>
      <c r="G68" s="19" t="s">
        <v>3063</v>
      </c>
      <c r="H68" s="19" t="s">
        <v>26</v>
      </c>
      <c r="I68" s="19" t="s">
        <v>33</v>
      </c>
      <c r="J68" s="20"/>
      <c r="K68" s="38" t="str">
        <f>"70,0"</f>
        <v>70,0</v>
      </c>
      <c r="L68" s="20" t="str">
        <f>"78,8728"</f>
        <v>78,8728</v>
      </c>
      <c r="M68" s="18" t="s">
        <v>981</v>
      </c>
    </row>
    <row r="69" spans="1:13">
      <c r="B69" s="5" t="s">
        <v>40</v>
      </c>
    </row>
    <row r="70" spans="1:13" ht="15.95">
      <c r="A70" s="102" t="s">
        <v>334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</row>
    <row r="71" spans="1:13">
      <c r="A71" s="13" t="s">
        <v>15</v>
      </c>
      <c r="B71" s="11" t="s">
        <v>3127</v>
      </c>
      <c r="C71" s="11" t="s">
        <v>3128</v>
      </c>
      <c r="D71" s="11" t="s">
        <v>477</v>
      </c>
      <c r="E71" s="11" t="str">
        <f>"0,6785"</f>
        <v>0,6785</v>
      </c>
      <c r="F71" s="11" t="s">
        <v>3129</v>
      </c>
      <c r="G71" s="12" t="s">
        <v>205</v>
      </c>
      <c r="H71" s="12" t="s">
        <v>427</v>
      </c>
      <c r="I71" s="12" t="s">
        <v>347</v>
      </c>
      <c r="J71" s="13"/>
      <c r="K71" s="37" t="str">
        <f>"167,5"</f>
        <v>167,5</v>
      </c>
      <c r="L71" s="13" t="str">
        <f>"113,6487"</f>
        <v>113,6487</v>
      </c>
      <c r="M71" s="11" t="s">
        <v>3130</v>
      </c>
    </row>
    <row r="72" spans="1:13">
      <c r="A72" s="17" t="s">
        <v>62</v>
      </c>
      <c r="B72" s="14" t="s">
        <v>3131</v>
      </c>
      <c r="C72" s="14" t="s">
        <v>993</v>
      </c>
      <c r="D72" s="14" t="s">
        <v>3132</v>
      </c>
      <c r="E72" s="14" t="str">
        <f>"0,6749"</f>
        <v>0,6749</v>
      </c>
      <c r="F72" s="14" t="s">
        <v>3085</v>
      </c>
      <c r="G72" s="15" t="s">
        <v>70</v>
      </c>
      <c r="H72" s="15" t="s">
        <v>209</v>
      </c>
      <c r="I72" s="16" t="s">
        <v>59</v>
      </c>
      <c r="J72" s="17"/>
      <c r="K72" s="40" t="str">
        <f>"135,0"</f>
        <v>135,0</v>
      </c>
      <c r="L72" s="17" t="str">
        <f>"91,1115"</f>
        <v>91,1115</v>
      </c>
      <c r="M72" s="14" t="s">
        <v>158</v>
      </c>
    </row>
    <row r="73" spans="1:13">
      <c r="A73" s="17" t="s">
        <v>15</v>
      </c>
      <c r="B73" s="14" t="s">
        <v>3133</v>
      </c>
      <c r="C73" s="14" t="s">
        <v>2791</v>
      </c>
      <c r="D73" s="14" t="s">
        <v>477</v>
      </c>
      <c r="E73" s="14" t="str">
        <f>"0,6785"</f>
        <v>0,6785</v>
      </c>
      <c r="F73" s="14" t="s">
        <v>3134</v>
      </c>
      <c r="G73" s="15" t="s">
        <v>374</v>
      </c>
      <c r="H73" s="15" t="s">
        <v>399</v>
      </c>
      <c r="I73" s="16" t="s">
        <v>455</v>
      </c>
      <c r="J73" s="17"/>
      <c r="K73" s="40" t="str">
        <f>"205,0"</f>
        <v>205,0</v>
      </c>
      <c r="L73" s="17" t="str">
        <f>"139,0925"</f>
        <v>139,0925</v>
      </c>
      <c r="M73" s="14" t="s">
        <v>158</v>
      </c>
    </row>
    <row r="74" spans="1:13">
      <c r="A74" s="17" t="s">
        <v>62</v>
      </c>
      <c r="B74" s="14" t="s">
        <v>3135</v>
      </c>
      <c r="C74" s="14" t="s">
        <v>3136</v>
      </c>
      <c r="D74" s="14" t="s">
        <v>587</v>
      </c>
      <c r="E74" s="14" t="str">
        <f>"0,6774"</f>
        <v>0,6774</v>
      </c>
      <c r="F74" s="14" t="s">
        <v>176</v>
      </c>
      <c r="G74" s="15" t="s">
        <v>392</v>
      </c>
      <c r="H74" s="15" t="s">
        <v>506</v>
      </c>
      <c r="I74" s="15" t="s">
        <v>374</v>
      </c>
      <c r="J74" s="17"/>
      <c r="K74" s="40" t="str">
        <f>"200,0"</f>
        <v>200,0</v>
      </c>
      <c r="L74" s="17" t="str">
        <f>"135,4800"</f>
        <v>135,4800</v>
      </c>
      <c r="M74" s="14" t="s">
        <v>3137</v>
      </c>
    </row>
    <row r="75" spans="1:13">
      <c r="A75" s="17" t="s">
        <v>73</v>
      </c>
      <c r="B75" s="14" t="s">
        <v>3138</v>
      </c>
      <c r="C75" s="14" t="s">
        <v>3139</v>
      </c>
      <c r="D75" s="14" t="s">
        <v>590</v>
      </c>
      <c r="E75" s="14" t="str">
        <f>"0,6724"</f>
        <v>0,6724</v>
      </c>
      <c r="F75" s="14" t="s">
        <v>1238</v>
      </c>
      <c r="G75" s="15" t="s">
        <v>398</v>
      </c>
      <c r="H75" s="15" t="s">
        <v>383</v>
      </c>
      <c r="I75" s="16" t="s">
        <v>374</v>
      </c>
      <c r="J75" s="17"/>
      <c r="K75" s="40" t="str">
        <f>"195,0"</f>
        <v>195,0</v>
      </c>
      <c r="L75" s="17" t="str">
        <f>"131,1180"</f>
        <v>131,1180</v>
      </c>
      <c r="M75" s="14" t="s">
        <v>158</v>
      </c>
    </row>
    <row r="76" spans="1:13">
      <c r="A76" s="17" t="s">
        <v>75</v>
      </c>
      <c r="B76" s="14" t="s">
        <v>3140</v>
      </c>
      <c r="C76" s="14" t="s">
        <v>3141</v>
      </c>
      <c r="D76" s="14" t="s">
        <v>502</v>
      </c>
      <c r="E76" s="14" t="str">
        <f>"0,6764"</f>
        <v>0,6764</v>
      </c>
      <c r="F76" s="14" t="s">
        <v>644</v>
      </c>
      <c r="G76" s="15" t="s">
        <v>151</v>
      </c>
      <c r="H76" s="15" t="s">
        <v>248</v>
      </c>
      <c r="I76" s="16" t="s">
        <v>351</v>
      </c>
      <c r="J76" s="17"/>
      <c r="K76" s="40" t="str">
        <f>"170,0"</f>
        <v>170,0</v>
      </c>
      <c r="L76" s="17" t="str">
        <f>"114,9880"</f>
        <v>114,9880</v>
      </c>
      <c r="M76" s="14" t="s">
        <v>158</v>
      </c>
    </row>
    <row r="77" spans="1:13">
      <c r="A77" s="17" t="s">
        <v>87</v>
      </c>
      <c r="B77" s="14" t="s">
        <v>3142</v>
      </c>
      <c r="C77" s="14" t="s">
        <v>3143</v>
      </c>
      <c r="D77" s="14" t="s">
        <v>1685</v>
      </c>
      <c r="E77" s="14" t="str">
        <f>"0,6734"</f>
        <v>0,6734</v>
      </c>
      <c r="F77" s="14" t="s">
        <v>91</v>
      </c>
      <c r="G77" s="15" t="s">
        <v>59</v>
      </c>
      <c r="H77" s="15" t="s">
        <v>342</v>
      </c>
      <c r="I77" s="16" t="s">
        <v>152</v>
      </c>
      <c r="J77" s="17"/>
      <c r="K77" s="40" t="str">
        <f>"152,5"</f>
        <v>152,5</v>
      </c>
      <c r="L77" s="17" t="str">
        <f>"102,6935"</f>
        <v>102,6935</v>
      </c>
      <c r="M77" s="14" t="s">
        <v>3144</v>
      </c>
    </row>
    <row r="78" spans="1:13">
      <c r="A78" s="17" t="s">
        <v>168</v>
      </c>
      <c r="B78" s="14" t="s">
        <v>3145</v>
      </c>
      <c r="C78" s="14" t="s">
        <v>3146</v>
      </c>
      <c r="D78" s="14" t="s">
        <v>468</v>
      </c>
      <c r="E78" s="14" t="str">
        <f>"0,6744"</f>
        <v>0,6744</v>
      </c>
      <c r="F78" s="14" t="s">
        <v>91</v>
      </c>
      <c r="G78" s="15" t="s">
        <v>59</v>
      </c>
      <c r="H78" s="15" t="s">
        <v>60</v>
      </c>
      <c r="I78" s="16" t="s">
        <v>205</v>
      </c>
      <c r="J78" s="17"/>
      <c r="K78" s="40" t="str">
        <f>"150,0"</f>
        <v>150,0</v>
      </c>
      <c r="L78" s="17" t="str">
        <f>"101,1600"</f>
        <v>101,1600</v>
      </c>
      <c r="M78" s="14" t="s">
        <v>158</v>
      </c>
    </row>
    <row r="79" spans="1:13">
      <c r="A79" s="17" t="s">
        <v>92</v>
      </c>
      <c r="B79" s="14" t="s">
        <v>3147</v>
      </c>
      <c r="C79" s="14" t="s">
        <v>3148</v>
      </c>
      <c r="D79" s="14" t="s">
        <v>521</v>
      </c>
      <c r="E79" s="14" t="str">
        <f>"0,6754"</f>
        <v>0,6754</v>
      </c>
      <c r="F79" s="14" t="s">
        <v>3149</v>
      </c>
      <c r="G79" s="16" t="s">
        <v>384</v>
      </c>
      <c r="H79" s="16" t="s">
        <v>384</v>
      </c>
      <c r="I79" s="16" t="s">
        <v>384</v>
      </c>
      <c r="J79" s="17"/>
      <c r="K79" s="40">
        <v>0</v>
      </c>
      <c r="L79" s="17" t="str">
        <f>"0,0000"</f>
        <v>0,0000</v>
      </c>
      <c r="M79" s="14" t="s">
        <v>3150</v>
      </c>
    </row>
    <row r="80" spans="1:13">
      <c r="A80" s="17" t="s">
        <v>92</v>
      </c>
      <c r="B80" s="14" t="s">
        <v>3151</v>
      </c>
      <c r="C80" s="14" t="s">
        <v>3152</v>
      </c>
      <c r="D80" s="14" t="s">
        <v>536</v>
      </c>
      <c r="E80" s="14" t="str">
        <f>"0,6719"</f>
        <v>0,6719</v>
      </c>
      <c r="F80" s="14" t="s">
        <v>91</v>
      </c>
      <c r="G80" s="16" t="s">
        <v>60</v>
      </c>
      <c r="H80" s="16" t="s">
        <v>60</v>
      </c>
      <c r="I80" s="16" t="s">
        <v>60</v>
      </c>
      <c r="J80" s="17"/>
      <c r="K80" s="40">
        <v>0</v>
      </c>
      <c r="L80" s="17" t="str">
        <f>"0,0000"</f>
        <v>0,0000</v>
      </c>
      <c r="M80" s="14" t="s">
        <v>158</v>
      </c>
    </row>
    <row r="81" spans="1:13">
      <c r="A81" s="17" t="s">
        <v>15</v>
      </c>
      <c r="B81" s="14" t="s">
        <v>3153</v>
      </c>
      <c r="C81" s="14" t="s">
        <v>3154</v>
      </c>
      <c r="D81" s="14" t="s">
        <v>575</v>
      </c>
      <c r="E81" s="14" t="str">
        <f>"0,6704"</f>
        <v>0,6704</v>
      </c>
      <c r="F81" s="14" t="s">
        <v>3155</v>
      </c>
      <c r="G81" s="15" t="s">
        <v>248</v>
      </c>
      <c r="H81" s="15" t="s">
        <v>398</v>
      </c>
      <c r="I81" s="15" t="s">
        <v>458</v>
      </c>
      <c r="J81" s="17"/>
      <c r="K81" s="40" t="str">
        <f>"182,5"</f>
        <v>182,5</v>
      </c>
      <c r="L81" s="17" t="str">
        <f>"131,8911"</f>
        <v>131,8911</v>
      </c>
      <c r="M81" s="14" t="s">
        <v>3156</v>
      </c>
    </row>
    <row r="82" spans="1:13">
      <c r="A82" s="17" t="s">
        <v>62</v>
      </c>
      <c r="B82" s="14" t="s">
        <v>3157</v>
      </c>
      <c r="C82" s="14" t="s">
        <v>3158</v>
      </c>
      <c r="D82" s="14" t="s">
        <v>3159</v>
      </c>
      <c r="E82" s="14" t="str">
        <f>"0,6822"</f>
        <v>0,6822</v>
      </c>
      <c r="F82" s="14" t="s">
        <v>1378</v>
      </c>
      <c r="G82" s="15" t="s">
        <v>151</v>
      </c>
      <c r="H82" s="16" t="s">
        <v>248</v>
      </c>
      <c r="I82" s="16" t="s">
        <v>550</v>
      </c>
      <c r="J82" s="17"/>
      <c r="K82" s="40" t="str">
        <f>"160,0"</f>
        <v>160,0</v>
      </c>
      <c r="L82" s="17" t="str">
        <f>"115,7011"</f>
        <v>115,7011</v>
      </c>
      <c r="M82" s="14" t="s">
        <v>158</v>
      </c>
    </row>
    <row r="83" spans="1:13">
      <c r="A83" s="17" t="s">
        <v>73</v>
      </c>
      <c r="B83" s="14" t="s">
        <v>3160</v>
      </c>
      <c r="C83" s="14" t="s">
        <v>3161</v>
      </c>
      <c r="D83" s="14" t="s">
        <v>554</v>
      </c>
      <c r="E83" s="14" t="str">
        <f>"0,6739"</f>
        <v>0,6739</v>
      </c>
      <c r="F83" s="14" t="s">
        <v>91</v>
      </c>
      <c r="G83" s="15" t="s">
        <v>84</v>
      </c>
      <c r="H83" s="15" t="s">
        <v>162</v>
      </c>
      <c r="I83" s="15" t="s">
        <v>145</v>
      </c>
      <c r="J83" s="17"/>
      <c r="K83" s="40" t="str">
        <f>"125,0"</f>
        <v>125,0</v>
      </c>
      <c r="L83" s="17" t="str">
        <f>"89,2918"</f>
        <v>89,2918</v>
      </c>
      <c r="M83" s="14" t="s">
        <v>3162</v>
      </c>
    </row>
    <row r="84" spans="1:13">
      <c r="A84" s="17" t="s">
        <v>15</v>
      </c>
      <c r="B84" s="14" t="s">
        <v>3163</v>
      </c>
      <c r="C84" s="14" t="s">
        <v>3164</v>
      </c>
      <c r="D84" s="14" t="s">
        <v>1685</v>
      </c>
      <c r="E84" s="14" t="str">
        <f>"0,6734"</f>
        <v>0,6734</v>
      </c>
      <c r="F84" s="14" t="s">
        <v>3165</v>
      </c>
      <c r="G84" s="15" t="s">
        <v>147</v>
      </c>
      <c r="H84" s="15" t="s">
        <v>346</v>
      </c>
      <c r="I84" s="15" t="s">
        <v>59</v>
      </c>
      <c r="J84" s="17"/>
      <c r="K84" s="40" t="str">
        <f>"145,0"</f>
        <v>145,0</v>
      </c>
      <c r="L84" s="17" t="str">
        <f>"124,2995"</f>
        <v>124,2995</v>
      </c>
      <c r="M84" s="14" t="s">
        <v>3166</v>
      </c>
    </row>
    <row r="85" spans="1:13">
      <c r="A85" s="17" t="s">
        <v>62</v>
      </c>
      <c r="B85" s="14" t="s">
        <v>1687</v>
      </c>
      <c r="C85" s="14" t="s">
        <v>1688</v>
      </c>
      <c r="D85" s="14" t="s">
        <v>590</v>
      </c>
      <c r="E85" s="14" t="str">
        <f>"0,6724"</f>
        <v>0,6724</v>
      </c>
      <c r="F85" s="14" t="s">
        <v>594</v>
      </c>
      <c r="G85" s="15" t="s">
        <v>209</v>
      </c>
      <c r="H85" s="15" t="s">
        <v>58</v>
      </c>
      <c r="I85" s="15" t="s">
        <v>346</v>
      </c>
      <c r="J85" s="17"/>
      <c r="K85" s="40" t="str">
        <f>"142,5"</f>
        <v>142,5</v>
      </c>
      <c r="L85" s="17" t="str">
        <f>"115,6511"</f>
        <v>115,6511</v>
      </c>
      <c r="M85" s="14" t="s">
        <v>158</v>
      </c>
    </row>
    <row r="86" spans="1:13">
      <c r="A86" s="17" t="s">
        <v>73</v>
      </c>
      <c r="B86" s="14" t="s">
        <v>3167</v>
      </c>
      <c r="C86" s="14" t="s">
        <v>3168</v>
      </c>
      <c r="D86" s="14" t="s">
        <v>1469</v>
      </c>
      <c r="E86" s="14" t="str">
        <f>"0,6779"</f>
        <v>0,6779</v>
      </c>
      <c r="F86" s="14" t="s">
        <v>3169</v>
      </c>
      <c r="G86" s="15" t="s">
        <v>209</v>
      </c>
      <c r="H86" s="16" t="s">
        <v>58</v>
      </c>
      <c r="I86" s="16" t="s">
        <v>58</v>
      </c>
      <c r="J86" s="17"/>
      <c r="K86" s="40" t="str">
        <f>"135,0"</f>
        <v>135,0</v>
      </c>
      <c r="L86" s="17" t="str">
        <f>"110,4604"</f>
        <v>110,4604</v>
      </c>
      <c r="M86" s="14" t="s">
        <v>3170</v>
      </c>
    </row>
    <row r="87" spans="1:13">
      <c r="A87" s="17" t="s">
        <v>75</v>
      </c>
      <c r="B87" s="14" t="s">
        <v>1689</v>
      </c>
      <c r="C87" s="14" t="s">
        <v>1690</v>
      </c>
      <c r="D87" s="14" t="s">
        <v>587</v>
      </c>
      <c r="E87" s="14" t="str">
        <f>"0,6774"</f>
        <v>0,6774</v>
      </c>
      <c r="F87" s="14" t="s">
        <v>1651</v>
      </c>
      <c r="G87" s="16" t="s">
        <v>69</v>
      </c>
      <c r="H87" s="16" t="s">
        <v>69</v>
      </c>
      <c r="I87" s="15" t="s">
        <v>69</v>
      </c>
      <c r="J87" s="17"/>
      <c r="K87" s="40" t="str">
        <f>"110,0"</f>
        <v>110,0</v>
      </c>
      <c r="L87" s="17" t="str">
        <f>"88,4481"</f>
        <v>88,4481</v>
      </c>
      <c r="M87" s="14" t="s">
        <v>1691</v>
      </c>
    </row>
    <row r="88" spans="1:13">
      <c r="A88" s="20" t="s">
        <v>15</v>
      </c>
      <c r="B88" s="18" t="s">
        <v>3171</v>
      </c>
      <c r="C88" s="18" t="s">
        <v>3172</v>
      </c>
      <c r="D88" s="18" t="s">
        <v>498</v>
      </c>
      <c r="E88" s="18" t="str">
        <f>"0,6800"</f>
        <v>0,6800</v>
      </c>
      <c r="F88" s="18" t="s">
        <v>1279</v>
      </c>
      <c r="G88" s="22" t="s">
        <v>67</v>
      </c>
      <c r="H88" s="19" t="s">
        <v>67</v>
      </c>
      <c r="I88" s="19" t="s">
        <v>36</v>
      </c>
      <c r="J88" s="20"/>
      <c r="K88" s="38" t="str">
        <f>"90,0"</f>
        <v>90,0</v>
      </c>
      <c r="L88" s="20" t="str">
        <f>"126,0720"</f>
        <v>126,0720</v>
      </c>
      <c r="M88" s="18" t="s">
        <v>158</v>
      </c>
    </row>
    <row r="89" spans="1:13">
      <c r="B89" s="5" t="s">
        <v>40</v>
      </c>
    </row>
    <row r="90" spans="1:13" ht="15.95">
      <c r="A90" s="102" t="s">
        <v>598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</row>
    <row r="91" spans="1:13">
      <c r="A91" s="13" t="s">
        <v>15</v>
      </c>
      <c r="B91" s="11" t="s">
        <v>3173</v>
      </c>
      <c r="C91" s="11" t="s">
        <v>3174</v>
      </c>
      <c r="D91" s="11" t="s">
        <v>1474</v>
      </c>
      <c r="E91" s="11" t="str">
        <f>"0,6451"</f>
        <v>0,6451</v>
      </c>
      <c r="F91" s="11" t="s">
        <v>3175</v>
      </c>
      <c r="G91" s="21" t="s">
        <v>398</v>
      </c>
      <c r="H91" s="12" t="s">
        <v>398</v>
      </c>
      <c r="I91" s="21" t="s">
        <v>374</v>
      </c>
      <c r="J91" s="13"/>
      <c r="K91" s="37" t="str">
        <f>"180,0"</f>
        <v>180,0</v>
      </c>
      <c r="L91" s="13" t="str">
        <f>"116,1180"</f>
        <v>116,1180</v>
      </c>
      <c r="M91" s="11" t="s">
        <v>158</v>
      </c>
    </row>
    <row r="92" spans="1:13">
      <c r="A92" s="17" t="s">
        <v>15</v>
      </c>
      <c r="B92" s="14" t="s">
        <v>3176</v>
      </c>
      <c r="C92" s="14" t="s">
        <v>3177</v>
      </c>
      <c r="D92" s="14" t="s">
        <v>649</v>
      </c>
      <c r="E92" s="14" t="str">
        <f>"0,6432"</f>
        <v>0,6432</v>
      </c>
      <c r="F92" s="14" t="s">
        <v>3178</v>
      </c>
      <c r="G92" s="16" t="s">
        <v>152</v>
      </c>
      <c r="H92" s="16" t="s">
        <v>248</v>
      </c>
      <c r="I92" s="15" t="s">
        <v>248</v>
      </c>
      <c r="J92" s="17"/>
      <c r="K92" s="40" t="str">
        <f>"170,0"</f>
        <v>170,0</v>
      </c>
      <c r="L92" s="17" t="str">
        <f>"109,3440"</f>
        <v>109,3440</v>
      </c>
      <c r="M92" s="14" t="s">
        <v>3179</v>
      </c>
    </row>
    <row r="93" spans="1:13">
      <c r="A93" s="17" t="s">
        <v>62</v>
      </c>
      <c r="B93" s="14" t="s">
        <v>3180</v>
      </c>
      <c r="C93" s="14" t="s">
        <v>3181</v>
      </c>
      <c r="D93" s="14" t="s">
        <v>1701</v>
      </c>
      <c r="E93" s="14" t="str">
        <f>"0,6444"</f>
        <v>0,6444</v>
      </c>
      <c r="F93" s="14" t="s">
        <v>2963</v>
      </c>
      <c r="G93" s="15" t="s">
        <v>151</v>
      </c>
      <c r="H93" s="15" t="s">
        <v>152</v>
      </c>
      <c r="I93" s="16" t="s">
        <v>351</v>
      </c>
      <c r="J93" s="17"/>
      <c r="K93" s="40" t="str">
        <f>"165,0"</f>
        <v>165,0</v>
      </c>
      <c r="L93" s="17" t="str">
        <f>"106,3260"</f>
        <v>106,3260</v>
      </c>
      <c r="M93" s="14" t="s">
        <v>158</v>
      </c>
    </row>
    <row r="94" spans="1:13">
      <c r="A94" s="17" t="s">
        <v>15</v>
      </c>
      <c r="B94" s="14" t="s">
        <v>3182</v>
      </c>
      <c r="C94" s="14" t="s">
        <v>3183</v>
      </c>
      <c r="D94" s="14" t="s">
        <v>3184</v>
      </c>
      <c r="E94" s="14" t="str">
        <f>"0,6499"</f>
        <v>0,6499</v>
      </c>
      <c r="F94" s="14" t="s">
        <v>1300</v>
      </c>
      <c r="G94" s="15" t="s">
        <v>384</v>
      </c>
      <c r="H94" s="16" t="s">
        <v>420</v>
      </c>
      <c r="I94" s="15" t="s">
        <v>385</v>
      </c>
      <c r="J94" s="17"/>
      <c r="K94" s="40" t="str">
        <f>"222,5"</f>
        <v>222,5</v>
      </c>
      <c r="L94" s="17" t="str">
        <f>"144,6028"</f>
        <v>144,6028</v>
      </c>
      <c r="M94" s="14" t="s">
        <v>3185</v>
      </c>
    </row>
    <row r="95" spans="1:13">
      <c r="A95" s="17" t="s">
        <v>62</v>
      </c>
      <c r="B95" s="14" t="s">
        <v>3186</v>
      </c>
      <c r="C95" s="14" t="s">
        <v>3187</v>
      </c>
      <c r="D95" s="14" t="s">
        <v>2041</v>
      </c>
      <c r="E95" s="14" t="str">
        <f>"0,6398"</f>
        <v>0,6398</v>
      </c>
      <c r="F95" s="14" t="s">
        <v>1218</v>
      </c>
      <c r="G95" s="15" t="s">
        <v>398</v>
      </c>
      <c r="H95" s="16" t="s">
        <v>392</v>
      </c>
      <c r="I95" s="16" t="s">
        <v>392</v>
      </c>
      <c r="J95" s="17"/>
      <c r="K95" s="40" t="str">
        <f>"180,0"</f>
        <v>180,0</v>
      </c>
      <c r="L95" s="17" t="str">
        <f>"115,1640"</f>
        <v>115,1640</v>
      </c>
      <c r="M95" s="14" t="s">
        <v>158</v>
      </c>
    </row>
    <row r="96" spans="1:13">
      <c r="A96" s="17" t="s">
        <v>73</v>
      </c>
      <c r="B96" s="14" t="s">
        <v>1728</v>
      </c>
      <c r="C96" s="14" t="s">
        <v>1729</v>
      </c>
      <c r="D96" s="14" t="s">
        <v>615</v>
      </c>
      <c r="E96" s="14" t="str">
        <f>"0,6491"</f>
        <v>0,6491</v>
      </c>
      <c r="F96" s="14" t="s">
        <v>1730</v>
      </c>
      <c r="G96" s="15" t="s">
        <v>152</v>
      </c>
      <c r="H96" s="15" t="s">
        <v>351</v>
      </c>
      <c r="I96" s="16" t="s">
        <v>398</v>
      </c>
      <c r="J96" s="17"/>
      <c r="K96" s="40" t="str">
        <f>"175,0"</f>
        <v>175,0</v>
      </c>
      <c r="L96" s="17" t="str">
        <f>"113,5925"</f>
        <v>113,5925</v>
      </c>
      <c r="M96" s="14" t="s">
        <v>158</v>
      </c>
    </row>
    <row r="97" spans="1:13">
      <c r="A97" s="17" t="s">
        <v>75</v>
      </c>
      <c r="B97" s="14" t="s">
        <v>3188</v>
      </c>
      <c r="C97" s="14" t="s">
        <v>3189</v>
      </c>
      <c r="D97" s="14" t="s">
        <v>1114</v>
      </c>
      <c r="E97" s="14" t="str">
        <f>"0,6467"</f>
        <v>0,6467</v>
      </c>
      <c r="F97" s="14" t="s">
        <v>3190</v>
      </c>
      <c r="G97" s="15" t="s">
        <v>248</v>
      </c>
      <c r="H97" s="15" t="s">
        <v>351</v>
      </c>
      <c r="I97" s="16" t="s">
        <v>398</v>
      </c>
      <c r="J97" s="17"/>
      <c r="K97" s="40" t="str">
        <f>"175,0"</f>
        <v>175,0</v>
      </c>
      <c r="L97" s="17" t="str">
        <f>"113,1725"</f>
        <v>113,1725</v>
      </c>
      <c r="M97" s="14" t="s">
        <v>799</v>
      </c>
    </row>
    <row r="98" spans="1:13">
      <c r="A98" s="17" t="s">
        <v>87</v>
      </c>
      <c r="B98" s="14" t="s">
        <v>3191</v>
      </c>
      <c r="C98" s="14" t="s">
        <v>761</v>
      </c>
      <c r="D98" s="14" t="s">
        <v>1114</v>
      </c>
      <c r="E98" s="14" t="str">
        <f>"0,6467"</f>
        <v>0,6467</v>
      </c>
      <c r="F98" s="14" t="s">
        <v>1164</v>
      </c>
      <c r="G98" s="15" t="s">
        <v>152</v>
      </c>
      <c r="H98" s="16" t="s">
        <v>351</v>
      </c>
      <c r="I98" s="16" t="s">
        <v>351</v>
      </c>
      <c r="J98" s="17"/>
      <c r="K98" s="40" t="str">
        <f>"165,0"</f>
        <v>165,0</v>
      </c>
      <c r="L98" s="17" t="str">
        <f>"106,7055"</f>
        <v>106,7055</v>
      </c>
      <c r="M98" s="14" t="s">
        <v>1165</v>
      </c>
    </row>
    <row r="99" spans="1:13">
      <c r="A99" s="17" t="s">
        <v>168</v>
      </c>
      <c r="B99" s="14" t="s">
        <v>3192</v>
      </c>
      <c r="C99" s="14" t="s">
        <v>3193</v>
      </c>
      <c r="D99" s="14" t="s">
        <v>3194</v>
      </c>
      <c r="E99" s="14" t="str">
        <f>"0,6459"</f>
        <v>0,6459</v>
      </c>
      <c r="F99" s="14" t="s">
        <v>91</v>
      </c>
      <c r="G99" s="16" t="s">
        <v>342</v>
      </c>
      <c r="H99" s="16" t="s">
        <v>205</v>
      </c>
      <c r="I99" s="15" t="s">
        <v>205</v>
      </c>
      <c r="J99" s="17"/>
      <c r="K99" s="40" t="str">
        <f>"155,0"</f>
        <v>155,0</v>
      </c>
      <c r="L99" s="17" t="str">
        <f>"100,1145"</f>
        <v>100,1145</v>
      </c>
      <c r="M99" s="14" t="s">
        <v>3195</v>
      </c>
    </row>
    <row r="100" spans="1:13">
      <c r="A100" s="17" t="s">
        <v>172</v>
      </c>
      <c r="B100" s="14" t="s">
        <v>3196</v>
      </c>
      <c r="C100" s="14" t="s">
        <v>3197</v>
      </c>
      <c r="D100" s="14" t="s">
        <v>1085</v>
      </c>
      <c r="E100" s="14" t="str">
        <f>"0,6455"</f>
        <v>0,6455</v>
      </c>
      <c r="F100" s="14" t="s">
        <v>134</v>
      </c>
      <c r="G100" s="15" t="s">
        <v>205</v>
      </c>
      <c r="H100" s="16" t="s">
        <v>152</v>
      </c>
      <c r="I100" s="16" t="s">
        <v>351</v>
      </c>
      <c r="J100" s="17"/>
      <c r="K100" s="40" t="str">
        <f>"155,0"</f>
        <v>155,0</v>
      </c>
      <c r="L100" s="17" t="str">
        <f>"100,0525"</f>
        <v>100,0525</v>
      </c>
      <c r="M100" s="14" t="s">
        <v>3198</v>
      </c>
    </row>
    <row r="101" spans="1:13">
      <c r="A101" s="17" t="s">
        <v>92</v>
      </c>
      <c r="B101" s="14" t="s">
        <v>3199</v>
      </c>
      <c r="C101" s="14" t="s">
        <v>3200</v>
      </c>
      <c r="D101" s="14" t="s">
        <v>622</v>
      </c>
      <c r="E101" s="14" t="str">
        <f>"0,6495"</f>
        <v>0,6495</v>
      </c>
      <c r="F101" s="14" t="s">
        <v>1651</v>
      </c>
      <c r="G101" s="16" t="s">
        <v>209</v>
      </c>
      <c r="H101" s="16" t="s">
        <v>58</v>
      </c>
      <c r="I101" s="16" t="s">
        <v>58</v>
      </c>
      <c r="J101" s="17"/>
      <c r="K101" s="40">
        <v>0</v>
      </c>
      <c r="L101" s="17" t="str">
        <f>"0,0000"</f>
        <v>0,0000</v>
      </c>
      <c r="M101" s="14" t="s">
        <v>1514</v>
      </c>
    </row>
    <row r="102" spans="1:13">
      <c r="A102" s="17" t="s">
        <v>15</v>
      </c>
      <c r="B102" s="14" t="s">
        <v>3201</v>
      </c>
      <c r="C102" s="14" t="s">
        <v>3202</v>
      </c>
      <c r="D102" s="14" t="s">
        <v>615</v>
      </c>
      <c r="E102" s="14" t="str">
        <f>"0,6491"</f>
        <v>0,6491</v>
      </c>
      <c r="F102" s="14" t="s">
        <v>2904</v>
      </c>
      <c r="G102" s="15" t="s">
        <v>392</v>
      </c>
      <c r="H102" s="15" t="s">
        <v>374</v>
      </c>
      <c r="I102" s="16" t="s">
        <v>399</v>
      </c>
      <c r="J102" s="17"/>
      <c r="K102" s="40" t="str">
        <f>"200,0"</f>
        <v>200,0</v>
      </c>
      <c r="L102" s="17" t="str">
        <f>"137,6092"</f>
        <v>137,6092</v>
      </c>
      <c r="M102" s="14" t="s">
        <v>158</v>
      </c>
    </row>
    <row r="103" spans="1:13">
      <c r="A103" s="17" t="s">
        <v>62</v>
      </c>
      <c r="B103" s="14" t="s">
        <v>1112</v>
      </c>
      <c r="C103" s="14" t="s">
        <v>1113</v>
      </c>
      <c r="D103" s="14" t="s">
        <v>1114</v>
      </c>
      <c r="E103" s="14" t="str">
        <f>"0,6467"</f>
        <v>0,6467</v>
      </c>
      <c r="F103" s="14" t="s">
        <v>602</v>
      </c>
      <c r="G103" s="15" t="s">
        <v>145</v>
      </c>
      <c r="H103" s="15" t="s">
        <v>209</v>
      </c>
      <c r="I103" s="15" t="s">
        <v>346</v>
      </c>
      <c r="J103" s="17"/>
      <c r="K103" s="40" t="str">
        <f>"142,5"</f>
        <v>142,5</v>
      </c>
      <c r="L103" s="17" t="str">
        <f>"97,6840"</f>
        <v>97,6840</v>
      </c>
      <c r="M103" s="14" t="s">
        <v>1115</v>
      </c>
    </row>
    <row r="104" spans="1:13">
      <c r="A104" s="17" t="s">
        <v>92</v>
      </c>
      <c r="B104" s="14" t="s">
        <v>3203</v>
      </c>
      <c r="C104" s="14" t="s">
        <v>3204</v>
      </c>
      <c r="D104" s="14" t="s">
        <v>1474</v>
      </c>
      <c r="E104" s="14" t="str">
        <f>"0,6451"</f>
        <v>0,6451</v>
      </c>
      <c r="F104" s="14" t="s">
        <v>3205</v>
      </c>
      <c r="G104" s="16" t="s">
        <v>351</v>
      </c>
      <c r="H104" s="16" t="s">
        <v>351</v>
      </c>
      <c r="I104" s="16" t="s">
        <v>351</v>
      </c>
      <c r="J104" s="17"/>
      <c r="K104" s="40">
        <v>0</v>
      </c>
      <c r="L104" s="17" t="str">
        <f>"0,0000"</f>
        <v>0,0000</v>
      </c>
      <c r="M104" s="14" t="s">
        <v>158</v>
      </c>
    </row>
    <row r="105" spans="1:13">
      <c r="A105" s="17" t="s">
        <v>15</v>
      </c>
      <c r="B105" s="14" t="s">
        <v>3206</v>
      </c>
      <c r="C105" s="14" t="s">
        <v>3207</v>
      </c>
      <c r="D105" s="14" t="s">
        <v>1499</v>
      </c>
      <c r="E105" s="14" t="str">
        <f>"0,6507"</f>
        <v>0,6507</v>
      </c>
      <c r="F105" s="14" t="s">
        <v>2378</v>
      </c>
      <c r="G105" s="15" t="s">
        <v>351</v>
      </c>
      <c r="H105" s="15" t="s">
        <v>398</v>
      </c>
      <c r="I105" s="16" t="s">
        <v>458</v>
      </c>
      <c r="J105" s="17"/>
      <c r="K105" s="40" t="str">
        <f>"180,0"</f>
        <v>180,0</v>
      </c>
      <c r="L105" s="17" t="str">
        <f>"151,9124"</f>
        <v>151,9124</v>
      </c>
      <c r="M105" s="14" t="s">
        <v>158</v>
      </c>
    </row>
    <row r="106" spans="1:13">
      <c r="A106" s="17" t="s">
        <v>62</v>
      </c>
      <c r="B106" s="14" t="s">
        <v>1715</v>
      </c>
      <c r="C106" s="14" t="s">
        <v>1743</v>
      </c>
      <c r="D106" s="14" t="s">
        <v>1070</v>
      </c>
      <c r="E106" s="14" t="str">
        <f>"0,6424"</f>
        <v>0,6424</v>
      </c>
      <c r="F106" s="14" t="s">
        <v>594</v>
      </c>
      <c r="G106" s="15" t="s">
        <v>550</v>
      </c>
      <c r="H106" s="15" t="s">
        <v>398</v>
      </c>
      <c r="I106" s="16" t="s">
        <v>458</v>
      </c>
      <c r="J106" s="17"/>
      <c r="K106" s="40" t="str">
        <f>"180,0"</f>
        <v>180,0</v>
      </c>
      <c r="L106" s="17" t="str">
        <f>"135,0582"</f>
        <v>135,0582</v>
      </c>
      <c r="M106" s="14" t="s">
        <v>158</v>
      </c>
    </row>
    <row r="107" spans="1:13">
      <c r="A107" s="17" t="s">
        <v>73</v>
      </c>
      <c r="B107" s="14" t="s">
        <v>1744</v>
      </c>
      <c r="C107" s="14" t="s">
        <v>1745</v>
      </c>
      <c r="D107" s="14" t="s">
        <v>1118</v>
      </c>
      <c r="E107" s="14" t="str">
        <f>"0,6440"</f>
        <v>0,6440</v>
      </c>
      <c r="F107" s="14" t="s">
        <v>1746</v>
      </c>
      <c r="G107" s="15" t="s">
        <v>205</v>
      </c>
      <c r="H107" s="15" t="s">
        <v>427</v>
      </c>
      <c r="I107" s="15" t="s">
        <v>347</v>
      </c>
      <c r="J107" s="17"/>
      <c r="K107" s="40" t="str">
        <f>"167,5"</f>
        <v>167,5</v>
      </c>
      <c r="L107" s="17" t="str">
        <f>"130,1991"</f>
        <v>130,1991</v>
      </c>
      <c r="M107" s="14" t="s">
        <v>158</v>
      </c>
    </row>
    <row r="108" spans="1:13">
      <c r="A108" s="17" t="s">
        <v>75</v>
      </c>
      <c r="B108" s="14" t="s">
        <v>3208</v>
      </c>
      <c r="C108" s="14" t="s">
        <v>3209</v>
      </c>
      <c r="D108" s="14" t="s">
        <v>3210</v>
      </c>
      <c r="E108" s="14" t="str">
        <f>"0,6588"</f>
        <v>0,6588</v>
      </c>
      <c r="F108" s="14" t="s">
        <v>3211</v>
      </c>
      <c r="G108" s="15" t="s">
        <v>71</v>
      </c>
      <c r="H108" s="16" t="s">
        <v>209</v>
      </c>
      <c r="I108" s="16" t="s">
        <v>209</v>
      </c>
      <c r="J108" s="17"/>
      <c r="K108" s="40" t="str">
        <f>"130,0"</f>
        <v>130,0</v>
      </c>
      <c r="L108" s="17" t="str">
        <f>"105,1708"</f>
        <v>105,1708</v>
      </c>
      <c r="M108" s="14" t="s">
        <v>158</v>
      </c>
    </row>
    <row r="109" spans="1:13">
      <c r="A109" s="17" t="s">
        <v>15</v>
      </c>
      <c r="B109" s="14" t="s">
        <v>3212</v>
      </c>
      <c r="C109" s="14" t="s">
        <v>3213</v>
      </c>
      <c r="D109" s="14" t="s">
        <v>2041</v>
      </c>
      <c r="E109" s="14" t="str">
        <f>"0,6398"</f>
        <v>0,6398</v>
      </c>
      <c r="F109" s="14" t="s">
        <v>2049</v>
      </c>
      <c r="G109" s="15" t="s">
        <v>69</v>
      </c>
      <c r="H109" s="16" t="s">
        <v>70</v>
      </c>
      <c r="I109" s="15" t="s">
        <v>70</v>
      </c>
      <c r="J109" s="17"/>
      <c r="K109" s="40" t="str">
        <f>"120,0"</f>
        <v>120,0</v>
      </c>
      <c r="L109" s="17" t="str">
        <f>"115,2408"</f>
        <v>115,2408</v>
      </c>
      <c r="M109" s="14" t="s">
        <v>158</v>
      </c>
    </row>
    <row r="110" spans="1:13">
      <c r="A110" s="17" t="s">
        <v>92</v>
      </c>
      <c r="B110" s="14" t="s">
        <v>3214</v>
      </c>
      <c r="C110" s="14" t="s">
        <v>3215</v>
      </c>
      <c r="D110" s="14" t="s">
        <v>1499</v>
      </c>
      <c r="E110" s="14" t="str">
        <f>"0,6507"</f>
        <v>0,6507</v>
      </c>
      <c r="F110" s="14" t="s">
        <v>2177</v>
      </c>
      <c r="G110" s="16" t="s">
        <v>59</v>
      </c>
      <c r="H110" s="16" t="s">
        <v>59</v>
      </c>
      <c r="I110" s="17"/>
      <c r="J110" s="17"/>
      <c r="K110" s="40">
        <v>0</v>
      </c>
      <c r="L110" s="17" t="str">
        <f>"0,0000"</f>
        <v>0,0000</v>
      </c>
      <c r="M110" s="14" t="s">
        <v>3216</v>
      </c>
    </row>
    <row r="111" spans="1:13">
      <c r="A111" s="20" t="s">
        <v>15</v>
      </c>
      <c r="B111" s="18" t="s">
        <v>667</v>
      </c>
      <c r="C111" s="18" t="s">
        <v>668</v>
      </c>
      <c r="D111" s="18" t="s">
        <v>622</v>
      </c>
      <c r="E111" s="18" t="str">
        <f>"0,6495"</f>
        <v>0,6495</v>
      </c>
      <c r="F111" s="18" t="s">
        <v>669</v>
      </c>
      <c r="G111" s="19" t="s">
        <v>70</v>
      </c>
      <c r="H111" s="19" t="s">
        <v>145</v>
      </c>
      <c r="I111" s="19" t="s">
        <v>85</v>
      </c>
      <c r="J111" s="20"/>
      <c r="K111" s="38" t="str">
        <f>"127,5"</f>
        <v>127,5</v>
      </c>
      <c r="L111" s="20" t="str">
        <f>"157,3414"</f>
        <v>157,3414</v>
      </c>
      <c r="M111" s="18" t="s">
        <v>158</v>
      </c>
    </row>
    <row r="112" spans="1:13">
      <c r="B112" s="5" t="s">
        <v>40</v>
      </c>
    </row>
    <row r="113" spans="1:13" ht="15.95">
      <c r="A113" s="102" t="s">
        <v>670</v>
      </c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</row>
    <row r="114" spans="1:13">
      <c r="A114" s="13" t="s">
        <v>92</v>
      </c>
      <c r="B114" s="11" t="s">
        <v>3217</v>
      </c>
      <c r="C114" s="11" t="s">
        <v>3218</v>
      </c>
      <c r="D114" s="11" t="s">
        <v>2838</v>
      </c>
      <c r="E114" s="11" t="str">
        <f>"0,6345"</f>
        <v>0,6345</v>
      </c>
      <c r="F114" s="11" t="s">
        <v>3219</v>
      </c>
      <c r="G114" s="21" t="s">
        <v>38</v>
      </c>
      <c r="H114" s="13"/>
      <c r="I114" s="13"/>
      <c r="J114" s="13"/>
      <c r="K114" s="37">
        <v>0</v>
      </c>
      <c r="L114" s="13" t="str">
        <f>"0,0000"</f>
        <v>0,0000</v>
      </c>
      <c r="M114" s="11" t="s">
        <v>158</v>
      </c>
    </row>
    <row r="115" spans="1:13">
      <c r="A115" s="17" t="s">
        <v>15</v>
      </c>
      <c r="B115" s="14" t="s">
        <v>3220</v>
      </c>
      <c r="C115" s="14" t="s">
        <v>3221</v>
      </c>
      <c r="D115" s="14" t="s">
        <v>3222</v>
      </c>
      <c r="E115" s="14" t="str">
        <f>"0,6292"</f>
        <v>0,6292</v>
      </c>
      <c r="F115" s="14" t="s">
        <v>1481</v>
      </c>
      <c r="G115" s="15" t="s">
        <v>383</v>
      </c>
      <c r="H115" s="15" t="s">
        <v>506</v>
      </c>
      <c r="I115" s="16" t="s">
        <v>374</v>
      </c>
      <c r="J115" s="17"/>
      <c r="K115" s="40" t="str">
        <f>"197,5"</f>
        <v>197,5</v>
      </c>
      <c r="L115" s="17" t="str">
        <f>"124,2670"</f>
        <v>124,2670</v>
      </c>
      <c r="M115" s="14" t="s">
        <v>158</v>
      </c>
    </row>
    <row r="116" spans="1:13">
      <c r="A116" s="17" t="s">
        <v>62</v>
      </c>
      <c r="B116" s="14" t="s">
        <v>1753</v>
      </c>
      <c r="C116" s="14" t="s">
        <v>1754</v>
      </c>
      <c r="D116" s="14" t="s">
        <v>1755</v>
      </c>
      <c r="E116" s="14" t="str">
        <f>"0,6142"</f>
        <v>0,6142</v>
      </c>
      <c r="F116" s="14" t="s">
        <v>79</v>
      </c>
      <c r="G116" s="15" t="s">
        <v>383</v>
      </c>
      <c r="H116" s="16" t="s">
        <v>374</v>
      </c>
      <c r="I116" s="16" t="s">
        <v>374</v>
      </c>
      <c r="J116" s="17"/>
      <c r="K116" s="40" t="str">
        <f>"195,0"</f>
        <v>195,0</v>
      </c>
      <c r="L116" s="17" t="str">
        <f>"119,7690"</f>
        <v>119,7690</v>
      </c>
      <c r="M116" s="14" t="s">
        <v>158</v>
      </c>
    </row>
    <row r="117" spans="1:13">
      <c r="A117" s="17" t="s">
        <v>73</v>
      </c>
      <c r="B117" s="14" t="s">
        <v>3223</v>
      </c>
      <c r="C117" s="14" t="s">
        <v>3224</v>
      </c>
      <c r="D117" s="14" t="s">
        <v>1137</v>
      </c>
      <c r="E117" s="14" t="str">
        <f>"0,6163"</f>
        <v>0,6163</v>
      </c>
      <c r="F117" s="14" t="s">
        <v>3225</v>
      </c>
      <c r="G117" s="16" t="s">
        <v>453</v>
      </c>
      <c r="H117" s="15" t="s">
        <v>453</v>
      </c>
      <c r="I117" s="16" t="s">
        <v>374</v>
      </c>
      <c r="J117" s="17"/>
      <c r="K117" s="40" t="str">
        <f>"187,5"</f>
        <v>187,5</v>
      </c>
      <c r="L117" s="17" t="str">
        <f>"115,5562"</f>
        <v>115,5562</v>
      </c>
      <c r="M117" s="14" t="s">
        <v>3226</v>
      </c>
    </row>
    <row r="118" spans="1:13">
      <c r="A118" s="17" t="s">
        <v>75</v>
      </c>
      <c r="B118" s="14" t="s">
        <v>1128</v>
      </c>
      <c r="C118" s="14" t="s">
        <v>1129</v>
      </c>
      <c r="D118" s="14" t="s">
        <v>1130</v>
      </c>
      <c r="E118" s="14" t="str">
        <f>"0,6188"</f>
        <v>0,6188</v>
      </c>
      <c r="F118" s="14" t="s">
        <v>1131</v>
      </c>
      <c r="G118" s="15" t="s">
        <v>368</v>
      </c>
      <c r="H118" s="16" t="s">
        <v>392</v>
      </c>
      <c r="I118" s="17"/>
      <c r="J118" s="17"/>
      <c r="K118" s="40" t="str">
        <f>"185,0"</f>
        <v>185,0</v>
      </c>
      <c r="L118" s="17" t="str">
        <f>"114,4780"</f>
        <v>114,4780</v>
      </c>
      <c r="M118" s="14" t="s">
        <v>158</v>
      </c>
    </row>
    <row r="119" spans="1:13">
      <c r="A119" s="17" t="s">
        <v>87</v>
      </c>
      <c r="B119" s="14" t="s">
        <v>1132</v>
      </c>
      <c r="C119" s="14" t="s">
        <v>1133</v>
      </c>
      <c r="D119" s="14" t="s">
        <v>1134</v>
      </c>
      <c r="E119" s="14" t="str">
        <f>"0,6356"</f>
        <v>0,6356</v>
      </c>
      <c r="F119" s="14" t="s">
        <v>961</v>
      </c>
      <c r="G119" s="15" t="s">
        <v>60</v>
      </c>
      <c r="H119" s="16" t="s">
        <v>151</v>
      </c>
      <c r="I119" s="16" t="s">
        <v>151</v>
      </c>
      <c r="J119" s="17"/>
      <c r="K119" s="40" t="str">
        <f>"150,0"</f>
        <v>150,0</v>
      </c>
      <c r="L119" s="17" t="str">
        <f>"95,3400"</f>
        <v>95,3400</v>
      </c>
      <c r="M119" s="14" t="s">
        <v>158</v>
      </c>
    </row>
    <row r="120" spans="1:13">
      <c r="A120" s="17" t="s">
        <v>15</v>
      </c>
      <c r="B120" s="14" t="s">
        <v>3227</v>
      </c>
      <c r="C120" s="14" t="s">
        <v>3228</v>
      </c>
      <c r="D120" s="14" t="s">
        <v>1201</v>
      </c>
      <c r="E120" s="14" t="str">
        <f>"0,6126"</f>
        <v>0,6126</v>
      </c>
      <c r="F120" s="14" t="s">
        <v>91</v>
      </c>
      <c r="G120" s="16" t="s">
        <v>421</v>
      </c>
      <c r="H120" s="15" t="s">
        <v>459</v>
      </c>
      <c r="I120" s="15" t="s">
        <v>627</v>
      </c>
      <c r="J120" s="16" t="s">
        <v>3229</v>
      </c>
      <c r="K120" s="40" t="str">
        <f>"245,0"</f>
        <v>245,0</v>
      </c>
      <c r="L120" s="17" t="str">
        <f>"150,0870"</f>
        <v>150,0870</v>
      </c>
      <c r="M120" s="14" t="s">
        <v>3230</v>
      </c>
    </row>
    <row r="121" spans="1:13">
      <c r="A121" s="17" t="s">
        <v>62</v>
      </c>
      <c r="B121" s="14" t="s">
        <v>3231</v>
      </c>
      <c r="C121" s="14" t="s">
        <v>3232</v>
      </c>
      <c r="D121" s="14" t="s">
        <v>719</v>
      </c>
      <c r="E121" s="14" t="str">
        <f>"0,6150"</f>
        <v>0,6150</v>
      </c>
      <c r="F121" s="14" t="s">
        <v>3233</v>
      </c>
      <c r="G121" s="15" t="s">
        <v>442</v>
      </c>
      <c r="H121" s="15" t="s">
        <v>459</v>
      </c>
      <c r="I121" s="15" t="s">
        <v>437</v>
      </c>
      <c r="J121" s="16" t="s">
        <v>3234</v>
      </c>
      <c r="K121" s="40" t="str">
        <f>"242,5"</f>
        <v>242,5</v>
      </c>
      <c r="L121" s="17" t="str">
        <f>"149,1375"</f>
        <v>149,1375</v>
      </c>
      <c r="M121" s="14" t="s">
        <v>158</v>
      </c>
    </row>
    <row r="122" spans="1:13">
      <c r="A122" s="17" t="s">
        <v>73</v>
      </c>
      <c r="B122" s="14" t="s">
        <v>3235</v>
      </c>
      <c r="C122" s="14" t="s">
        <v>3236</v>
      </c>
      <c r="D122" s="14" t="s">
        <v>1210</v>
      </c>
      <c r="E122" s="14" t="str">
        <f>"0,6088"</f>
        <v>0,6088</v>
      </c>
      <c r="F122" s="14" t="s">
        <v>591</v>
      </c>
      <c r="G122" s="15" t="s">
        <v>384</v>
      </c>
      <c r="H122" s="15" t="s">
        <v>420</v>
      </c>
      <c r="I122" s="15" t="s">
        <v>421</v>
      </c>
      <c r="J122" s="17"/>
      <c r="K122" s="40" t="str">
        <f>"230,0"</f>
        <v>230,0</v>
      </c>
      <c r="L122" s="17" t="str">
        <f>"140,0240"</f>
        <v>140,0240</v>
      </c>
      <c r="M122" s="14" t="s">
        <v>3156</v>
      </c>
    </row>
    <row r="123" spans="1:13">
      <c r="A123" s="17" t="s">
        <v>75</v>
      </c>
      <c r="B123" s="14" t="s">
        <v>3237</v>
      </c>
      <c r="C123" s="14" t="s">
        <v>3238</v>
      </c>
      <c r="D123" s="14" t="s">
        <v>719</v>
      </c>
      <c r="E123" s="14" t="str">
        <f>"0,6150"</f>
        <v>0,6150</v>
      </c>
      <c r="F123" s="14" t="s">
        <v>96</v>
      </c>
      <c r="G123" s="15" t="s">
        <v>384</v>
      </c>
      <c r="H123" s="15" t="s">
        <v>436</v>
      </c>
      <c r="I123" s="15" t="s">
        <v>420</v>
      </c>
      <c r="J123" s="17"/>
      <c r="K123" s="40" t="str">
        <f>"220,0"</f>
        <v>220,0</v>
      </c>
      <c r="L123" s="17" t="str">
        <f>"135,3000"</f>
        <v>135,3000</v>
      </c>
      <c r="M123" s="14" t="s">
        <v>3239</v>
      </c>
    </row>
    <row r="124" spans="1:13">
      <c r="A124" s="17" t="s">
        <v>87</v>
      </c>
      <c r="B124" s="14" t="s">
        <v>3240</v>
      </c>
      <c r="C124" s="14" t="s">
        <v>3241</v>
      </c>
      <c r="D124" s="14" t="s">
        <v>2819</v>
      </c>
      <c r="E124" s="14" t="str">
        <f>"0,6121"</f>
        <v>0,6121</v>
      </c>
      <c r="F124" s="14" t="s">
        <v>91</v>
      </c>
      <c r="G124" s="15" t="s">
        <v>420</v>
      </c>
      <c r="H124" s="16" t="s">
        <v>442</v>
      </c>
      <c r="I124" s="16" t="s">
        <v>442</v>
      </c>
      <c r="J124" s="17"/>
      <c r="K124" s="40" t="str">
        <f>"220,0"</f>
        <v>220,0</v>
      </c>
      <c r="L124" s="17" t="str">
        <f>"134,6620"</f>
        <v>134,6620</v>
      </c>
      <c r="M124" s="14" t="s">
        <v>3242</v>
      </c>
    </row>
    <row r="125" spans="1:13">
      <c r="A125" s="17" t="s">
        <v>168</v>
      </c>
      <c r="B125" s="14" t="s">
        <v>3243</v>
      </c>
      <c r="C125" s="14" t="s">
        <v>3244</v>
      </c>
      <c r="D125" s="14" t="s">
        <v>1778</v>
      </c>
      <c r="E125" s="14" t="str">
        <f>"0,6129"</f>
        <v>0,6129</v>
      </c>
      <c r="F125" s="14" t="s">
        <v>91</v>
      </c>
      <c r="G125" s="15" t="s">
        <v>436</v>
      </c>
      <c r="H125" s="16" t="s">
        <v>442</v>
      </c>
      <c r="I125" s="16" t="s">
        <v>421</v>
      </c>
      <c r="J125" s="17"/>
      <c r="K125" s="40" t="str">
        <f>"215,0"</f>
        <v>215,0</v>
      </c>
      <c r="L125" s="17" t="str">
        <f>"131,7735"</f>
        <v>131,7735</v>
      </c>
      <c r="M125" s="14" t="s">
        <v>3245</v>
      </c>
    </row>
    <row r="126" spans="1:13">
      <c r="A126" s="17" t="s">
        <v>172</v>
      </c>
      <c r="B126" s="14" t="s">
        <v>3246</v>
      </c>
      <c r="C126" s="14" t="s">
        <v>3247</v>
      </c>
      <c r="D126" s="14" t="s">
        <v>1193</v>
      </c>
      <c r="E126" s="14" t="str">
        <f>"0,6131"</f>
        <v>0,6131</v>
      </c>
      <c r="F126" s="14" t="s">
        <v>3248</v>
      </c>
      <c r="G126" s="15" t="s">
        <v>383</v>
      </c>
      <c r="H126" s="15" t="s">
        <v>399</v>
      </c>
      <c r="I126" s="16" t="s">
        <v>384</v>
      </c>
      <c r="J126" s="17"/>
      <c r="K126" s="40" t="str">
        <f>"205,0"</f>
        <v>205,0</v>
      </c>
      <c r="L126" s="17" t="str">
        <f>"125,6855"</f>
        <v>125,6855</v>
      </c>
      <c r="M126" s="14" t="s">
        <v>158</v>
      </c>
    </row>
    <row r="127" spans="1:13">
      <c r="A127" s="17" t="s">
        <v>178</v>
      </c>
      <c r="B127" s="14" t="s">
        <v>3249</v>
      </c>
      <c r="C127" s="14" t="s">
        <v>3250</v>
      </c>
      <c r="D127" s="14" t="s">
        <v>1835</v>
      </c>
      <c r="E127" s="14" t="str">
        <f>"0,6103"</f>
        <v>0,6103</v>
      </c>
      <c r="F127" s="14" t="s">
        <v>1448</v>
      </c>
      <c r="G127" s="15" t="s">
        <v>392</v>
      </c>
      <c r="H127" s="15" t="s">
        <v>506</v>
      </c>
      <c r="I127" s="15" t="s">
        <v>399</v>
      </c>
      <c r="J127" s="17"/>
      <c r="K127" s="40" t="str">
        <f>"205,0"</f>
        <v>205,0</v>
      </c>
      <c r="L127" s="17" t="str">
        <f>"125,1115"</f>
        <v>125,1115</v>
      </c>
      <c r="M127" s="14" t="s">
        <v>158</v>
      </c>
    </row>
    <row r="128" spans="1:13">
      <c r="A128" s="17" t="s">
        <v>183</v>
      </c>
      <c r="B128" s="14" t="s">
        <v>3251</v>
      </c>
      <c r="C128" s="14" t="s">
        <v>3252</v>
      </c>
      <c r="D128" s="14" t="s">
        <v>711</v>
      </c>
      <c r="E128" s="14" t="str">
        <f>"0,6091"</f>
        <v>0,6091</v>
      </c>
      <c r="F128" s="14" t="s">
        <v>513</v>
      </c>
      <c r="G128" s="15" t="s">
        <v>399</v>
      </c>
      <c r="H128" s="16" t="s">
        <v>384</v>
      </c>
      <c r="I128" s="16" t="s">
        <v>384</v>
      </c>
      <c r="J128" s="17"/>
      <c r="K128" s="40" t="str">
        <f>"205,0"</f>
        <v>205,0</v>
      </c>
      <c r="L128" s="17" t="str">
        <f>"124,8655"</f>
        <v>124,8655</v>
      </c>
      <c r="M128" s="14" t="s">
        <v>1098</v>
      </c>
    </row>
    <row r="129" spans="1:13">
      <c r="A129" s="17" t="s">
        <v>186</v>
      </c>
      <c r="B129" s="14" t="s">
        <v>3253</v>
      </c>
      <c r="C129" s="14" t="s">
        <v>3254</v>
      </c>
      <c r="D129" s="14" t="s">
        <v>3255</v>
      </c>
      <c r="E129" s="14" t="str">
        <f>"0,6263"</f>
        <v>0,6263</v>
      </c>
      <c r="F129" s="14" t="s">
        <v>91</v>
      </c>
      <c r="G129" s="15" t="s">
        <v>392</v>
      </c>
      <c r="H129" s="16" t="s">
        <v>374</v>
      </c>
      <c r="I129" s="16" t="s">
        <v>374</v>
      </c>
      <c r="J129" s="17"/>
      <c r="K129" s="40" t="str">
        <f>"190,0"</f>
        <v>190,0</v>
      </c>
      <c r="L129" s="17" t="str">
        <f>"118,9970"</f>
        <v>118,9970</v>
      </c>
      <c r="M129" s="14" t="s">
        <v>911</v>
      </c>
    </row>
    <row r="130" spans="1:13">
      <c r="A130" s="17" t="s">
        <v>556</v>
      </c>
      <c r="B130" s="14" t="s">
        <v>3256</v>
      </c>
      <c r="C130" s="14" t="s">
        <v>1420</v>
      </c>
      <c r="D130" s="14" t="s">
        <v>1791</v>
      </c>
      <c r="E130" s="14" t="str">
        <f>"0,6158"</f>
        <v>0,6158</v>
      </c>
      <c r="F130" s="14" t="s">
        <v>91</v>
      </c>
      <c r="G130" s="15" t="s">
        <v>452</v>
      </c>
      <c r="H130" s="15" t="s">
        <v>368</v>
      </c>
      <c r="I130" s="15" t="s">
        <v>392</v>
      </c>
      <c r="J130" s="17"/>
      <c r="K130" s="40" t="str">
        <f>"190,0"</f>
        <v>190,0</v>
      </c>
      <c r="L130" s="17" t="str">
        <f>"117,0020"</f>
        <v>117,0020</v>
      </c>
      <c r="M130" s="14" t="s">
        <v>2308</v>
      </c>
    </row>
    <row r="131" spans="1:13">
      <c r="A131" s="17" t="s">
        <v>559</v>
      </c>
      <c r="B131" s="14" t="s">
        <v>3257</v>
      </c>
      <c r="C131" s="14" t="s">
        <v>3258</v>
      </c>
      <c r="D131" s="14" t="s">
        <v>1835</v>
      </c>
      <c r="E131" s="14" t="str">
        <f>"0,6103"</f>
        <v>0,6103</v>
      </c>
      <c r="F131" s="14" t="s">
        <v>1590</v>
      </c>
      <c r="G131" s="15" t="s">
        <v>351</v>
      </c>
      <c r="H131" s="15" t="s">
        <v>368</v>
      </c>
      <c r="I131" s="15" t="s">
        <v>392</v>
      </c>
      <c r="J131" s="17"/>
      <c r="K131" s="40" t="str">
        <f>"190,0"</f>
        <v>190,0</v>
      </c>
      <c r="L131" s="17" t="str">
        <f>"115,9570"</f>
        <v>115,9570</v>
      </c>
      <c r="M131" s="14" t="s">
        <v>2912</v>
      </c>
    </row>
    <row r="132" spans="1:13">
      <c r="A132" s="17" t="s">
        <v>564</v>
      </c>
      <c r="B132" s="14" t="s">
        <v>3259</v>
      </c>
      <c r="C132" s="14" t="s">
        <v>3260</v>
      </c>
      <c r="D132" s="14" t="s">
        <v>701</v>
      </c>
      <c r="E132" s="14" t="str">
        <f>"0,6155"</f>
        <v>0,6155</v>
      </c>
      <c r="F132" s="14" t="s">
        <v>3110</v>
      </c>
      <c r="G132" s="15" t="s">
        <v>398</v>
      </c>
      <c r="H132" s="15" t="s">
        <v>368</v>
      </c>
      <c r="I132" s="17"/>
      <c r="J132" s="17"/>
      <c r="K132" s="40" t="str">
        <f>"185,0"</f>
        <v>185,0</v>
      </c>
      <c r="L132" s="17" t="str">
        <f>"113,8675"</f>
        <v>113,8675</v>
      </c>
      <c r="M132" s="14" t="s">
        <v>3261</v>
      </c>
    </row>
    <row r="133" spans="1:13">
      <c r="A133" s="17" t="s">
        <v>569</v>
      </c>
      <c r="B133" s="14" t="s">
        <v>3262</v>
      </c>
      <c r="C133" s="14" t="s">
        <v>2127</v>
      </c>
      <c r="D133" s="14" t="s">
        <v>1778</v>
      </c>
      <c r="E133" s="14" t="str">
        <f>"0,6129"</f>
        <v>0,6129</v>
      </c>
      <c r="F133" s="14" t="s">
        <v>1697</v>
      </c>
      <c r="G133" s="15" t="s">
        <v>351</v>
      </c>
      <c r="H133" s="15" t="s">
        <v>368</v>
      </c>
      <c r="I133" s="16" t="s">
        <v>454</v>
      </c>
      <c r="J133" s="17"/>
      <c r="K133" s="40" t="str">
        <f>"185,0"</f>
        <v>185,0</v>
      </c>
      <c r="L133" s="17" t="str">
        <f>"113,3865"</f>
        <v>113,3865</v>
      </c>
      <c r="M133" s="14" t="s">
        <v>158</v>
      </c>
    </row>
    <row r="134" spans="1:13">
      <c r="A134" s="17" t="s">
        <v>572</v>
      </c>
      <c r="B134" s="14" t="s">
        <v>3263</v>
      </c>
      <c r="C134" s="14" t="s">
        <v>969</v>
      </c>
      <c r="D134" s="14" t="s">
        <v>1791</v>
      </c>
      <c r="E134" s="14" t="str">
        <f>"0,6158"</f>
        <v>0,6158</v>
      </c>
      <c r="F134" s="14" t="s">
        <v>3264</v>
      </c>
      <c r="G134" s="15" t="s">
        <v>351</v>
      </c>
      <c r="H134" s="15" t="s">
        <v>452</v>
      </c>
      <c r="I134" s="15" t="s">
        <v>458</v>
      </c>
      <c r="J134" s="17"/>
      <c r="K134" s="40" t="str">
        <f>"182,5"</f>
        <v>182,5</v>
      </c>
      <c r="L134" s="17" t="str">
        <f>"112,3835"</f>
        <v>112,3835</v>
      </c>
      <c r="M134" s="14" t="s">
        <v>158</v>
      </c>
    </row>
    <row r="135" spans="1:13">
      <c r="A135" s="17" t="s">
        <v>577</v>
      </c>
      <c r="B135" s="14" t="s">
        <v>3265</v>
      </c>
      <c r="C135" s="14" t="s">
        <v>3266</v>
      </c>
      <c r="D135" s="14" t="s">
        <v>1513</v>
      </c>
      <c r="E135" s="14" t="str">
        <f>"0,6166"</f>
        <v>0,6166</v>
      </c>
      <c r="F135" s="14" t="s">
        <v>91</v>
      </c>
      <c r="G135" s="15" t="s">
        <v>550</v>
      </c>
      <c r="H135" s="16" t="s">
        <v>398</v>
      </c>
      <c r="I135" s="16" t="s">
        <v>398</v>
      </c>
      <c r="J135" s="17"/>
      <c r="K135" s="40" t="str">
        <f>"172,5"</f>
        <v>172,5</v>
      </c>
      <c r="L135" s="17" t="str">
        <f>"106,3635"</f>
        <v>106,3635</v>
      </c>
      <c r="M135" s="14" t="s">
        <v>896</v>
      </c>
    </row>
    <row r="136" spans="1:13">
      <c r="A136" s="17" t="s">
        <v>1810</v>
      </c>
      <c r="B136" s="14" t="s">
        <v>3267</v>
      </c>
      <c r="C136" s="14" t="s">
        <v>3268</v>
      </c>
      <c r="D136" s="14" t="s">
        <v>2816</v>
      </c>
      <c r="E136" s="14" t="str">
        <f>"0,6186"</f>
        <v>0,6186</v>
      </c>
      <c r="F136" s="14" t="s">
        <v>1214</v>
      </c>
      <c r="G136" s="16" t="s">
        <v>254</v>
      </c>
      <c r="H136" s="15" t="s">
        <v>152</v>
      </c>
      <c r="I136" s="16" t="s">
        <v>550</v>
      </c>
      <c r="J136" s="17"/>
      <c r="K136" s="40" t="str">
        <f>"165,0"</f>
        <v>165,0</v>
      </c>
      <c r="L136" s="17" t="str">
        <f>"102,0690"</f>
        <v>102,0690</v>
      </c>
      <c r="M136" s="14" t="s">
        <v>158</v>
      </c>
    </row>
    <row r="137" spans="1:13" ht="12.75">
      <c r="A137" s="17" t="s">
        <v>1813</v>
      </c>
      <c r="B137" s="14" t="s">
        <v>3269</v>
      </c>
      <c r="C137" s="14" t="s">
        <v>3270</v>
      </c>
      <c r="D137" s="14" t="s">
        <v>698</v>
      </c>
      <c r="E137" s="14" t="str">
        <f>"0,6111"</f>
        <v>0,6111</v>
      </c>
      <c r="F137" s="14" t="s">
        <v>900</v>
      </c>
      <c r="G137" s="15" t="s">
        <v>60</v>
      </c>
      <c r="H137" s="15" t="s">
        <v>205</v>
      </c>
      <c r="I137" s="15" t="s">
        <v>151</v>
      </c>
      <c r="J137" s="17"/>
      <c r="K137" s="40">
        <v>160</v>
      </c>
      <c r="L137" s="17" t="s">
        <v>3271</v>
      </c>
      <c r="M137" s="14" t="s">
        <v>901</v>
      </c>
    </row>
    <row r="138" spans="1:13">
      <c r="A138" s="17" t="s">
        <v>1818</v>
      </c>
      <c r="B138" s="14" t="s">
        <v>3272</v>
      </c>
      <c r="C138" s="14" t="s">
        <v>3273</v>
      </c>
      <c r="D138" s="14" t="s">
        <v>2795</v>
      </c>
      <c r="E138" s="14" t="str">
        <f>"0,6161"</f>
        <v>0,6161</v>
      </c>
      <c r="F138" s="14" t="s">
        <v>91</v>
      </c>
      <c r="G138" s="15" t="s">
        <v>151</v>
      </c>
      <c r="H138" s="16" t="s">
        <v>248</v>
      </c>
      <c r="I138" s="16" t="s">
        <v>248</v>
      </c>
      <c r="J138" s="17"/>
      <c r="K138" s="40" t="str">
        <f>"160,0"</f>
        <v>160,0</v>
      </c>
      <c r="L138" s="17" t="str">
        <f>"98,5760"</f>
        <v>98,5760</v>
      </c>
      <c r="M138" s="14" t="s">
        <v>158</v>
      </c>
    </row>
    <row r="139" spans="1:13">
      <c r="A139" s="17" t="s">
        <v>2618</v>
      </c>
      <c r="B139" s="14" t="s">
        <v>3274</v>
      </c>
      <c r="C139" s="14" t="s">
        <v>3275</v>
      </c>
      <c r="D139" s="14" t="s">
        <v>1778</v>
      </c>
      <c r="E139" s="14" t="str">
        <f>"0,6129"</f>
        <v>0,6129</v>
      </c>
      <c r="F139" s="14" t="s">
        <v>576</v>
      </c>
      <c r="G139" s="15" t="s">
        <v>209</v>
      </c>
      <c r="H139" s="15" t="s">
        <v>346</v>
      </c>
      <c r="I139" s="16" t="s">
        <v>204</v>
      </c>
      <c r="J139" s="17"/>
      <c r="K139" s="40" t="str">
        <f>"142,5"</f>
        <v>142,5</v>
      </c>
      <c r="L139" s="17" t="str">
        <f>"87,3383"</f>
        <v>87,3383</v>
      </c>
      <c r="M139" s="14" t="s">
        <v>2316</v>
      </c>
    </row>
    <row r="140" spans="1:13">
      <c r="A140" s="17" t="s">
        <v>92</v>
      </c>
      <c r="B140" s="14" t="s">
        <v>3276</v>
      </c>
      <c r="C140" s="14" t="s">
        <v>3277</v>
      </c>
      <c r="D140" s="14" t="s">
        <v>694</v>
      </c>
      <c r="E140" s="14" t="str">
        <f>"0,6134"</f>
        <v>0,6134</v>
      </c>
      <c r="F140" s="14" t="s">
        <v>176</v>
      </c>
      <c r="G140" s="16" t="s">
        <v>385</v>
      </c>
      <c r="H140" s="16" t="s">
        <v>507</v>
      </c>
      <c r="I140" s="16" t="s">
        <v>421</v>
      </c>
      <c r="J140" s="17"/>
      <c r="K140" s="40">
        <v>0</v>
      </c>
      <c r="L140" s="17" t="str">
        <f>"0,0000"</f>
        <v>0,0000</v>
      </c>
      <c r="M140" s="14" t="s">
        <v>1000</v>
      </c>
    </row>
    <row r="141" spans="1:13">
      <c r="A141" s="17" t="s">
        <v>92</v>
      </c>
      <c r="B141" s="14" t="s">
        <v>3278</v>
      </c>
      <c r="C141" s="14" t="s">
        <v>3279</v>
      </c>
      <c r="D141" s="14" t="s">
        <v>1193</v>
      </c>
      <c r="E141" s="14" t="str">
        <f>"0,6131"</f>
        <v>0,6131</v>
      </c>
      <c r="F141" s="14" t="s">
        <v>91</v>
      </c>
      <c r="G141" s="16" t="s">
        <v>436</v>
      </c>
      <c r="H141" s="16" t="s">
        <v>436</v>
      </c>
      <c r="I141" s="16" t="s">
        <v>436</v>
      </c>
      <c r="J141" s="17"/>
      <c r="K141" s="40">
        <v>0</v>
      </c>
      <c r="L141" s="17" t="str">
        <f>"0,0000"</f>
        <v>0,0000</v>
      </c>
      <c r="M141" s="14" t="s">
        <v>158</v>
      </c>
    </row>
    <row r="142" spans="1:13">
      <c r="A142" s="17" t="s">
        <v>15</v>
      </c>
      <c r="B142" s="14" t="s">
        <v>3280</v>
      </c>
      <c r="C142" s="14" t="s">
        <v>3281</v>
      </c>
      <c r="D142" s="14" t="s">
        <v>3282</v>
      </c>
      <c r="E142" s="14" t="str">
        <f>"0,6108"</f>
        <v>0,6108</v>
      </c>
      <c r="F142" s="14" t="s">
        <v>1265</v>
      </c>
      <c r="G142" s="15" t="s">
        <v>743</v>
      </c>
      <c r="H142" s="15" t="s">
        <v>455</v>
      </c>
      <c r="I142" s="16" t="s">
        <v>495</v>
      </c>
      <c r="J142" s="17"/>
      <c r="K142" s="40" t="str">
        <f>"207,5"</f>
        <v>207,5</v>
      </c>
      <c r="L142" s="17" t="str">
        <f>"130,2898"</f>
        <v>130,2898</v>
      </c>
      <c r="M142" s="14" t="s">
        <v>158</v>
      </c>
    </row>
    <row r="143" spans="1:13">
      <c r="A143" s="17" t="s">
        <v>62</v>
      </c>
      <c r="B143" s="14" t="s">
        <v>3246</v>
      </c>
      <c r="C143" s="14" t="s">
        <v>3202</v>
      </c>
      <c r="D143" s="14" t="s">
        <v>1193</v>
      </c>
      <c r="E143" s="14" t="str">
        <f>"0,6131"</f>
        <v>0,6131</v>
      </c>
      <c r="F143" s="14" t="s">
        <v>3248</v>
      </c>
      <c r="G143" s="15" t="s">
        <v>383</v>
      </c>
      <c r="H143" s="15" t="s">
        <v>399</v>
      </c>
      <c r="I143" s="16" t="s">
        <v>384</v>
      </c>
      <c r="J143" s="17"/>
      <c r="K143" s="40" t="str">
        <f>"205,0"</f>
        <v>205,0</v>
      </c>
      <c r="L143" s="17" t="str">
        <f>"133,2266"</f>
        <v>133,2266</v>
      </c>
      <c r="M143" s="14" t="s">
        <v>158</v>
      </c>
    </row>
    <row r="144" spans="1:13">
      <c r="A144" s="17" t="s">
        <v>73</v>
      </c>
      <c r="B144" s="14" t="s">
        <v>3283</v>
      </c>
      <c r="C144" s="14" t="s">
        <v>3284</v>
      </c>
      <c r="D144" s="14" t="s">
        <v>719</v>
      </c>
      <c r="E144" s="14" t="str">
        <f>"0,6150"</f>
        <v>0,6150</v>
      </c>
      <c r="F144" s="14" t="s">
        <v>594</v>
      </c>
      <c r="G144" s="16" t="s">
        <v>392</v>
      </c>
      <c r="H144" s="15" t="s">
        <v>392</v>
      </c>
      <c r="I144" s="15" t="s">
        <v>374</v>
      </c>
      <c r="J144" s="17"/>
      <c r="K144" s="40" t="str">
        <f>"200,0"</f>
        <v>200,0</v>
      </c>
      <c r="L144" s="17" t="str">
        <f>"130,3800"</f>
        <v>130,3800</v>
      </c>
      <c r="M144" s="14" t="s">
        <v>158</v>
      </c>
    </row>
    <row r="145" spans="1:13">
      <c r="A145" s="17" t="s">
        <v>75</v>
      </c>
      <c r="B145" s="14" t="s">
        <v>3285</v>
      </c>
      <c r="C145" s="14" t="s">
        <v>3286</v>
      </c>
      <c r="D145" s="14" t="s">
        <v>3287</v>
      </c>
      <c r="E145" s="14" t="str">
        <f>"0,6285"</f>
        <v>0,6285</v>
      </c>
      <c r="F145" s="14" t="s">
        <v>906</v>
      </c>
      <c r="G145" s="16" t="s">
        <v>383</v>
      </c>
      <c r="H145" s="15" t="s">
        <v>506</v>
      </c>
      <c r="I145" s="16" t="s">
        <v>399</v>
      </c>
      <c r="J145" s="17"/>
      <c r="K145" s="40" t="str">
        <f>"197,5"</f>
        <v>197,5</v>
      </c>
      <c r="L145" s="17" t="str">
        <f>"125,8665"</f>
        <v>125,8665</v>
      </c>
      <c r="M145" s="14" t="s">
        <v>158</v>
      </c>
    </row>
    <row r="146" spans="1:13">
      <c r="A146" s="17" t="s">
        <v>87</v>
      </c>
      <c r="B146" s="14" t="s">
        <v>3288</v>
      </c>
      <c r="C146" s="14" t="s">
        <v>3289</v>
      </c>
      <c r="D146" s="14" t="s">
        <v>719</v>
      </c>
      <c r="E146" s="14" t="str">
        <f>"0,6150"</f>
        <v>0,6150</v>
      </c>
      <c r="F146" s="14" t="s">
        <v>720</v>
      </c>
      <c r="G146" s="15" t="s">
        <v>351</v>
      </c>
      <c r="H146" s="15" t="s">
        <v>368</v>
      </c>
      <c r="I146" s="15" t="s">
        <v>383</v>
      </c>
      <c r="J146" s="17"/>
      <c r="K146" s="40" t="str">
        <f>"195,0"</f>
        <v>195,0</v>
      </c>
      <c r="L146" s="17" t="str">
        <f>"120,5246"</f>
        <v>120,5246</v>
      </c>
      <c r="M146" s="14" t="s">
        <v>3290</v>
      </c>
    </row>
    <row r="147" spans="1:13">
      <c r="A147" s="17" t="s">
        <v>168</v>
      </c>
      <c r="B147" s="14" t="s">
        <v>3291</v>
      </c>
      <c r="C147" s="14" t="s">
        <v>3292</v>
      </c>
      <c r="D147" s="14" t="s">
        <v>3293</v>
      </c>
      <c r="E147" s="14" t="str">
        <f>"0,6232"</f>
        <v>0,6232</v>
      </c>
      <c r="F147" s="14" t="s">
        <v>3294</v>
      </c>
      <c r="G147" s="15" t="s">
        <v>458</v>
      </c>
      <c r="H147" s="15" t="s">
        <v>392</v>
      </c>
      <c r="I147" s="16" t="s">
        <v>454</v>
      </c>
      <c r="J147" s="17"/>
      <c r="K147" s="40" t="str">
        <f>"190,0"</f>
        <v>190,0</v>
      </c>
      <c r="L147" s="17" t="str">
        <f>"119,0000"</f>
        <v>119,0000</v>
      </c>
      <c r="M147" s="14" t="s">
        <v>3295</v>
      </c>
    </row>
    <row r="148" spans="1:13">
      <c r="A148" s="17" t="s">
        <v>172</v>
      </c>
      <c r="B148" s="14" t="s">
        <v>3296</v>
      </c>
      <c r="C148" s="14" t="s">
        <v>3297</v>
      </c>
      <c r="D148" s="14" t="s">
        <v>701</v>
      </c>
      <c r="E148" s="14" t="str">
        <f>"0,6155"</f>
        <v>0,6155</v>
      </c>
      <c r="F148" s="14" t="s">
        <v>3169</v>
      </c>
      <c r="G148" s="16" t="s">
        <v>368</v>
      </c>
      <c r="H148" s="15" t="s">
        <v>368</v>
      </c>
      <c r="I148" s="16" t="s">
        <v>392</v>
      </c>
      <c r="J148" s="17"/>
      <c r="K148" s="40" t="str">
        <f>"185,0"</f>
        <v>185,0</v>
      </c>
      <c r="L148" s="17" t="str">
        <f>"114,4368"</f>
        <v>114,4368</v>
      </c>
      <c r="M148" s="14" t="s">
        <v>158</v>
      </c>
    </row>
    <row r="149" spans="1:13">
      <c r="A149" s="17" t="s">
        <v>92</v>
      </c>
      <c r="B149" s="14" t="s">
        <v>3298</v>
      </c>
      <c r="C149" s="14" t="s">
        <v>3299</v>
      </c>
      <c r="D149" s="14" t="s">
        <v>1827</v>
      </c>
      <c r="E149" s="14" t="str">
        <f>"0,6116"</f>
        <v>0,6116</v>
      </c>
      <c r="F149" s="14" t="s">
        <v>3300</v>
      </c>
      <c r="G149" s="16" t="s">
        <v>351</v>
      </c>
      <c r="H149" s="16" t="s">
        <v>398</v>
      </c>
      <c r="I149" s="16" t="s">
        <v>368</v>
      </c>
      <c r="J149" s="17"/>
      <c r="K149" s="40">
        <v>0</v>
      </c>
      <c r="L149" s="17" t="str">
        <f>"0,0000"</f>
        <v>0,0000</v>
      </c>
      <c r="M149" s="14" t="s">
        <v>3156</v>
      </c>
    </row>
    <row r="150" spans="1:13">
      <c r="A150" s="17" t="s">
        <v>92</v>
      </c>
      <c r="B150" s="14" t="s">
        <v>3301</v>
      </c>
      <c r="C150" s="14" t="s">
        <v>3302</v>
      </c>
      <c r="D150" s="14" t="s">
        <v>681</v>
      </c>
      <c r="E150" s="14" t="str">
        <f>"0,6093"</f>
        <v>0,6093</v>
      </c>
      <c r="F150" s="14" t="s">
        <v>1238</v>
      </c>
      <c r="G150" s="16" t="s">
        <v>374</v>
      </c>
      <c r="H150" s="16" t="s">
        <v>374</v>
      </c>
      <c r="I150" s="16" t="s">
        <v>374</v>
      </c>
      <c r="J150" s="17"/>
      <c r="K150" s="40">
        <v>0</v>
      </c>
      <c r="L150" s="17" t="str">
        <f>"0,0000"</f>
        <v>0,0000</v>
      </c>
      <c r="M150" s="14" t="s">
        <v>158</v>
      </c>
    </row>
    <row r="151" spans="1:13">
      <c r="A151" s="17" t="s">
        <v>15</v>
      </c>
      <c r="B151" s="14" t="s">
        <v>3303</v>
      </c>
      <c r="C151" s="14" t="s">
        <v>3304</v>
      </c>
      <c r="D151" s="14" t="s">
        <v>3305</v>
      </c>
      <c r="E151" s="14" t="str">
        <f>"0,6211"</f>
        <v>0,6211</v>
      </c>
      <c r="F151" s="14" t="s">
        <v>232</v>
      </c>
      <c r="G151" s="15" t="s">
        <v>374</v>
      </c>
      <c r="H151" s="16" t="s">
        <v>399</v>
      </c>
      <c r="I151" s="16" t="s">
        <v>399</v>
      </c>
      <c r="J151" s="17"/>
      <c r="K151" s="40" t="str">
        <f>"200,0"</f>
        <v>200,0</v>
      </c>
      <c r="L151" s="17" t="str">
        <f>"155,2750"</f>
        <v>155,2750</v>
      </c>
      <c r="M151" s="14" t="s">
        <v>3306</v>
      </c>
    </row>
    <row r="152" spans="1:13">
      <c r="A152" s="17" t="s">
        <v>62</v>
      </c>
      <c r="B152" s="14" t="s">
        <v>3307</v>
      </c>
      <c r="C152" s="14" t="s">
        <v>3308</v>
      </c>
      <c r="D152" s="14" t="s">
        <v>3309</v>
      </c>
      <c r="E152" s="14" t="str">
        <f>"0,6200"</f>
        <v>0,6200</v>
      </c>
      <c r="F152" s="14" t="s">
        <v>1265</v>
      </c>
      <c r="G152" s="15" t="s">
        <v>248</v>
      </c>
      <c r="H152" s="15" t="s">
        <v>398</v>
      </c>
      <c r="I152" s="15" t="s">
        <v>368</v>
      </c>
      <c r="J152" s="17"/>
      <c r="K152" s="40" t="str">
        <f>"185,0"</f>
        <v>185,0</v>
      </c>
      <c r="L152" s="17" t="str">
        <f>"138,4429"</f>
        <v>138,4429</v>
      </c>
      <c r="M152" s="14" t="s">
        <v>158</v>
      </c>
    </row>
    <row r="153" spans="1:13">
      <c r="A153" s="17" t="s">
        <v>73</v>
      </c>
      <c r="B153" s="14" t="s">
        <v>1208</v>
      </c>
      <c r="C153" s="14" t="s">
        <v>1209</v>
      </c>
      <c r="D153" s="14" t="s">
        <v>1210</v>
      </c>
      <c r="E153" s="14" t="str">
        <f>"0,6088"</f>
        <v>0,6088</v>
      </c>
      <c r="F153" s="14" t="s">
        <v>602</v>
      </c>
      <c r="G153" s="15" t="s">
        <v>398</v>
      </c>
      <c r="H153" s="16" t="s">
        <v>392</v>
      </c>
      <c r="I153" s="17"/>
      <c r="J153" s="17"/>
      <c r="K153" s="40" t="str">
        <f>"180,0"</f>
        <v>180,0</v>
      </c>
      <c r="L153" s="17" t="str">
        <f>"132,2679"</f>
        <v>132,2679</v>
      </c>
      <c r="M153" s="14" t="s">
        <v>158</v>
      </c>
    </row>
    <row r="154" spans="1:13">
      <c r="A154" s="17" t="s">
        <v>75</v>
      </c>
      <c r="B154" s="14" t="s">
        <v>3310</v>
      </c>
      <c r="C154" s="14" t="s">
        <v>3311</v>
      </c>
      <c r="D154" s="14" t="s">
        <v>3312</v>
      </c>
      <c r="E154" s="14" t="str">
        <f>"0,6301"</f>
        <v>0,6301</v>
      </c>
      <c r="F154" s="14" t="s">
        <v>3313</v>
      </c>
      <c r="G154" s="15" t="s">
        <v>248</v>
      </c>
      <c r="H154" s="15" t="s">
        <v>351</v>
      </c>
      <c r="I154" s="16" t="s">
        <v>398</v>
      </c>
      <c r="J154" s="17"/>
      <c r="K154" s="40" t="str">
        <f>"175,0"</f>
        <v>175,0</v>
      </c>
      <c r="L154" s="17" t="str">
        <f>"128,7924"</f>
        <v>128,7924</v>
      </c>
      <c r="M154" s="14" t="s">
        <v>158</v>
      </c>
    </row>
    <row r="155" spans="1:13">
      <c r="A155" s="17" t="s">
        <v>15</v>
      </c>
      <c r="B155" s="14" t="s">
        <v>2833</v>
      </c>
      <c r="C155" s="14" t="s">
        <v>2834</v>
      </c>
      <c r="D155" s="14" t="s">
        <v>2835</v>
      </c>
      <c r="E155" s="14" t="str">
        <f>"0,6370"</f>
        <v>0,6370</v>
      </c>
      <c r="F155" s="14" t="s">
        <v>3314</v>
      </c>
      <c r="G155" s="15" t="s">
        <v>85</v>
      </c>
      <c r="H155" s="15" t="s">
        <v>157</v>
      </c>
      <c r="I155" s="16" t="s">
        <v>209</v>
      </c>
      <c r="J155" s="17"/>
      <c r="K155" s="40" t="str">
        <f>"132,5"</f>
        <v>132,5</v>
      </c>
      <c r="L155" s="17" t="str">
        <f>"129,3890"</f>
        <v>129,3890</v>
      </c>
      <c r="M155" s="14" t="s">
        <v>158</v>
      </c>
    </row>
    <row r="156" spans="1:13">
      <c r="A156" s="20" t="s">
        <v>15</v>
      </c>
      <c r="B156" s="18" t="s">
        <v>3315</v>
      </c>
      <c r="C156" s="18" t="s">
        <v>3316</v>
      </c>
      <c r="D156" s="18" t="s">
        <v>698</v>
      </c>
      <c r="E156" s="18" t="str">
        <f>"0,6111"</f>
        <v>0,6111</v>
      </c>
      <c r="F156" s="18" t="s">
        <v>3317</v>
      </c>
      <c r="G156" s="19" t="s">
        <v>38</v>
      </c>
      <c r="H156" s="19" t="s">
        <v>69</v>
      </c>
      <c r="I156" s="19" t="s">
        <v>56</v>
      </c>
      <c r="J156" s="20"/>
      <c r="K156" s="38" t="str">
        <f>"115,0"</f>
        <v>115,0</v>
      </c>
      <c r="L156" s="20" t="str">
        <f>"144,7696"</f>
        <v>144,7696</v>
      </c>
      <c r="M156" s="18" t="s">
        <v>158</v>
      </c>
    </row>
    <row r="157" spans="1:13">
      <c r="B157" s="5" t="s">
        <v>40</v>
      </c>
    </row>
    <row r="158" spans="1:13" ht="15.95">
      <c r="A158" s="102" t="s">
        <v>724</v>
      </c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</row>
    <row r="159" spans="1:13">
      <c r="A159" s="13" t="s">
        <v>15</v>
      </c>
      <c r="B159" s="11" t="s">
        <v>3318</v>
      </c>
      <c r="C159" s="11" t="s">
        <v>3319</v>
      </c>
      <c r="D159" s="11" t="s">
        <v>3320</v>
      </c>
      <c r="E159" s="11" t="str">
        <f>"0,5972"</f>
        <v>0,5972</v>
      </c>
      <c r="F159" s="11" t="s">
        <v>1533</v>
      </c>
      <c r="G159" s="12" t="s">
        <v>151</v>
      </c>
      <c r="H159" s="21" t="s">
        <v>347</v>
      </c>
      <c r="I159" s="12" t="s">
        <v>347</v>
      </c>
      <c r="J159" s="13"/>
      <c r="K159" s="37" t="str">
        <f>"167,5"</f>
        <v>167,5</v>
      </c>
      <c r="L159" s="13" t="str">
        <f>"100,0310"</f>
        <v>100,0310</v>
      </c>
      <c r="M159" s="11" t="s">
        <v>158</v>
      </c>
    </row>
    <row r="160" spans="1:13">
      <c r="A160" s="17" t="s">
        <v>15</v>
      </c>
      <c r="B160" s="14" t="s">
        <v>3321</v>
      </c>
      <c r="C160" s="14" t="s">
        <v>1700</v>
      </c>
      <c r="D160" s="14" t="s">
        <v>1858</v>
      </c>
      <c r="E160" s="14" t="str">
        <f>"0,5933"</f>
        <v>0,5933</v>
      </c>
      <c r="F160" s="14" t="s">
        <v>528</v>
      </c>
      <c r="G160" s="15" t="s">
        <v>248</v>
      </c>
      <c r="H160" s="15" t="s">
        <v>398</v>
      </c>
      <c r="I160" s="15" t="s">
        <v>458</v>
      </c>
      <c r="J160" s="17"/>
      <c r="K160" s="40" t="str">
        <f>"182,5"</f>
        <v>182,5</v>
      </c>
      <c r="L160" s="17" t="str">
        <f>"108,2772"</f>
        <v>108,2772</v>
      </c>
      <c r="M160" s="14" t="s">
        <v>3322</v>
      </c>
    </row>
    <row r="161" spans="1:13">
      <c r="A161" s="17" t="s">
        <v>62</v>
      </c>
      <c r="B161" s="14" t="s">
        <v>1219</v>
      </c>
      <c r="C161" s="14" t="s">
        <v>1220</v>
      </c>
      <c r="D161" s="14" t="s">
        <v>779</v>
      </c>
      <c r="E161" s="14" t="str">
        <f>"0,5919"</f>
        <v>0,5919</v>
      </c>
      <c r="F161" s="14" t="s">
        <v>1221</v>
      </c>
      <c r="G161" s="15" t="s">
        <v>398</v>
      </c>
      <c r="H161" s="16" t="s">
        <v>454</v>
      </c>
      <c r="I161" s="16" t="s">
        <v>454</v>
      </c>
      <c r="J161" s="17"/>
      <c r="K161" s="40" t="str">
        <f>"180,0"</f>
        <v>180,0</v>
      </c>
      <c r="L161" s="17" t="str">
        <f>"106,5420"</f>
        <v>106,5420</v>
      </c>
      <c r="M161" s="14" t="s">
        <v>223</v>
      </c>
    </row>
    <row r="162" spans="1:13">
      <c r="A162" s="17" t="s">
        <v>73</v>
      </c>
      <c r="B162" s="14" t="s">
        <v>3323</v>
      </c>
      <c r="C162" s="14" t="s">
        <v>3324</v>
      </c>
      <c r="D162" s="14" t="s">
        <v>2048</v>
      </c>
      <c r="E162" s="14" t="str">
        <f>"0,5924"</f>
        <v>0,5924</v>
      </c>
      <c r="F162" s="14" t="s">
        <v>91</v>
      </c>
      <c r="G162" s="16" t="s">
        <v>351</v>
      </c>
      <c r="H162" s="15" t="s">
        <v>351</v>
      </c>
      <c r="I162" s="16" t="s">
        <v>398</v>
      </c>
      <c r="J162" s="17"/>
      <c r="K162" s="40" t="str">
        <f>"175,0"</f>
        <v>175,0</v>
      </c>
      <c r="L162" s="17" t="str">
        <f>"103,6700"</f>
        <v>103,6700</v>
      </c>
      <c r="M162" s="14" t="s">
        <v>158</v>
      </c>
    </row>
    <row r="163" spans="1:13">
      <c r="A163" s="17" t="s">
        <v>75</v>
      </c>
      <c r="B163" s="14" t="s">
        <v>3325</v>
      </c>
      <c r="C163" s="14" t="s">
        <v>2651</v>
      </c>
      <c r="D163" s="14" t="s">
        <v>742</v>
      </c>
      <c r="E163" s="14" t="str">
        <f>"0,5923"</f>
        <v>0,5923</v>
      </c>
      <c r="F163" s="14" t="s">
        <v>2502</v>
      </c>
      <c r="G163" s="15" t="s">
        <v>60</v>
      </c>
      <c r="H163" s="15" t="s">
        <v>151</v>
      </c>
      <c r="I163" s="15" t="s">
        <v>427</v>
      </c>
      <c r="J163" s="17"/>
      <c r="K163" s="40" t="str">
        <f>"162,5"</f>
        <v>162,5</v>
      </c>
      <c r="L163" s="17" t="str">
        <f>"96,2487"</f>
        <v>96,2487</v>
      </c>
      <c r="M163" s="14" t="s">
        <v>3326</v>
      </c>
    </row>
    <row r="164" spans="1:13">
      <c r="A164" s="17" t="s">
        <v>15</v>
      </c>
      <c r="B164" s="14" t="s">
        <v>3327</v>
      </c>
      <c r="C164" s="14" t="s">
        <v>257</v>
      </c>
      <c r="D164" s="14" t="s">
        <v>3328</v>
      </c>
      <c r="E164" s="14" t="str">
        <f>"0,5994"</f>
        <v>0,5994</v>
      </c>
      <c r="F164" s="14" t="s">
        <v>758</v>
      </c>
      <c r="G164" s="15" t="s">
        <v>421</v>
      </c>
      <c r="H164" s="15" t="s">
        <v>459</v>
      </c>
      <c r="I164" s="15" t="s">
        <v>422</v>
      </c>
      <c r="J164" s="17"/>
      <c r="K164" s="40" t="str">
        <f>"240,0"</f>
        <v>240,0</v>
      </c>
      <c r="L164" s="17" t="str">
        <f>"143,8560"</f>
        <v>143,8560</v>
      </c>
      <c r="M164" s="14" t="s">
        <v>3329</v>
      </c>
    </row>
    <row r="165" spans="1:13">
      <c r="A165" s="17" t="s">
        <v>62</v>
      </c>
      <c r="B165" s="14" t="s">
        <v>3330</v>
      </c>
      <c r="C165" s="14" t="s">
        <v>3331</v>
      </c>
      <c r="D165" s="14" t="s">
        <v>3332</v>
      </c>
      <c r="E165" s="14" t="str">
        <f>"0,5946"</f>
        <v>0,5946</v>
      </c>
      <c r="F165" s="14" t="s">
        <v>1697</v>
      </c>
      <c r="G165" s="15" t="s">
        <v>422</v>
      </c>
      <c r="H165" s="16" t="s">
        <v>490</v>
      </c>
      <c r="I165" s="16" t="s">
        <v>490</v>
      </c>
      <c r="J165" s="17"/>
      <c r="K165" s="40" t="str">
        <f>"240,0"</f>
        <v>240,0</v>
      </c>
      <c r="L165" s="17" t="str">
        <f>"142,7040"</f>
        <v>142,7040</v>
      </c>
      <c r="M165" s="14" t="s">
        <v>158</v>
      </c>
    </row>
    <row r="166" spans="1:13">
      <c r="A166" s="17" t="s">
        <v>73</v>
      </c>
      <c r="B166" s="14" t="s">
        <v>3333</v>
      </c>
      <c r="C166" s="14" t="s">
        <v>3334</v>
      </c>
      <c r="D166" s="14" t="s">
        <v>3335</v>
      </c>
      <c r="E166" s="14" t="str">
        <f>"0,5943"</f>
        <v>0,5943</v>
      </c>
      <c r="F166" s="14" t="s">
        <v>2418</v>
      </c>
      <c r="G166" s="15" t="s">
        <v>421</v>
      </c>
      <c r="H166" s="16" t="s">
        <v>437</v>
      </c>
      <c r="I166" s="16" t="s">
        <v>437</v>
      </c>
      <c r="J166" s="17"/>
      <c r="K166" s="40" t="str">
        <f>"230,0"</f>
        <v>230,0</v>
      </c>
      <c r="L166" s="17" t="str">
        <f>"136,6890"</f>
        <v>136,6890</v>
      </c>
      <c r="M166" s="14" t="s">
        <v>158</v>
      </c>
    </row>
    <row r="167" spans="1:13">
      <c r="A167" s="17" t="s">
        <v>75</v>
      </c>
      <c r="B167" s="14" t="s">
        <v>1270</v>
      </c>
      <c r="C167" s="14" t="s">
        <v>1271</v>
      </c>
      <c r="D167" s="14" t="s">
        <v>1272</v>
      </c>
      <c r="E167" s="14" t="str">
        <f>"0,5935"</f>
        <v>0,5935</v>
      </c>
      <c r="F167" s="14" t="s">
        <v>176</v>
      </c>
      <c r="G167" s="15" t="s">
        <v>436</v>
      </c>
      <c r="H167" s="15" t="s">
        <v>442</v>
      </c>
      <c r="I167" s="16" t="s">
        <v>421</v>
      </c>
      <c r="J167" s="17"/>
      <c r="K167" s="40" t="str">
        <f>"225,0"</f>
        <v>225,0</v>
      </c>
      <c r="L167" s="17" t="str">
        <f>"133,5375"</f>
        <v>133,5375</v>
      </c>
      <c r="M167" s="14" t="s">
        <v>158</v>
      </c>
    </row>
    <row r="168" spans="1:13">
      <c r="A168" s="17" t="s">
        <v>87</v>
      </c>
      <c r="B168" s="14" t="s">
        <v>3336</v>
      </c>
      <c r="C168" s="14" t="s">
        <v>3337</v>
      </c>
      <c r="D168" s="14" t="s">
        <v>1858</v>
      </c>
      <c r="E168" s="14" t="str">
        <f>"0,5933"</f>
        <v>0,5933</v>
      </c>
      <c r="F168" s="14" t="s">
        <v>166</v>
      </c>
      <c r="G168" s="15" t="s">
        <v>385</v>
      </c>
      <c r="H168" s="16" t="s">
        <v>507</v>
      </c>
      <c r="I168" s="16" t="s">
        <v>507</v>
      </c>
      <c r="J168" s="17"/>
      <c r="K168" s="40" t="str">
        <f>"222,5"</f>
        <v>222,5</v>
      </c>
      <c r="L168" s="17" t="str">
        <f>"132,0092"</f>
        <v>132,0092</v>
      </c>
      <c r="M168" s="14" t="s">
        <v>158</v>
      </c>
    </row>
    <row r="169" spans="1:13">
      <c r="A169" s="17" t="s">
        <v>168</v>
      </c>
      <c r="B169" s="14" t="s">
        <v>3338</v>
      </c>
      <c r="C169" s="14" t="s">
        <v>1307</v>
      </c>
      <c r="D169" s="14" t="s">
        <v>3339</v>
      </c>
      <c r="E169" s="14" t="str">
        <f>"0,5895"</f>
        <v>0,5895</v>
      </c>
      <c r="F169" s="14" t="s">
        <v>2938</v>
      </c>
      <c r="G169" s="15" t="s">
        <v>495</v>
      </c>
      <c r="H169" s="15" t="s">
        <v>385</v>
      </c>
      <c r="I169" s="16" t="s">
        <v>421</v>
      </c>
      <c r="J169" s="17"/>
      <c r="K169" s="40" t="str">
        <f>"222,5"</f>
        <v>222,5</v>
      </c>
      <c r="L169" s="17" t="str">
        <f>"131,1638"</f>
        <v>131,1638</v>
      </c>
      <c r="M169" s="14" t="s">
        <v>158</v>
      </c>
    </row>
    <row r="170" spans="1:13">
      <c r="A170" s="17" t="s">
        <v>172</v>
      </c>
      <c r="B170" s="14" t="s">
        <v>3340</v>
      </c>
      <c r="C170" s="14" t="s">
        <v>3341</v>
      </c>
      <c r="D170" s="14" t="s">
        <v>3335</v>
      </c>
      <c r="E170" s="14" t="str">
        <f>"0,5943"</f>
        <v>0,5943</v>
      </c>
      <c r="F170" s="14" t="s">
        <v>594</v>
      </c>
      <c r="G170" s="15" t="s">
        <v>420</v>
      </c>
      <c r="H170" s="16" t="s">
        <v>421</v>
      </c>
      <c r="I170" s="16" t="s">
        <v>437</v>
      </c>
      <c r="J170" s="17"/>
      <c r="K170" s="40" t="str">
        <f>"220,0"</f>
        <v>220,0</v>
      </c>
      <c r="L170" s="17" t="str">
        <f>"130,7460"</f>
        <v>130,7460</v>
      </c>
      <c r="M170" s="14" t="s">
        <v>3342</v>
      </c>
    </row>
    <row r="171" spans="1:13">
      <c r="A171" s="17" t="s">
        <v>178</v>
      </c>
      <c r="B171" s="14" t="s">
        <v>3343</v>
      </c>
      <c r="C171" s="14" t="s">
        <v>3344</v>
      </c>
      <c r="D171" s="14" t="s">
        <v>2926</v>
      </c>
      <c r="E171" s="14" t="str">
        <f>"0,5952"</f>
        <v>0,5952</v>
      </c>
      <c r="F171" s="14" t="s">
        <v>3345</v>
      </c>
      <c r="G171" s="15" t="s">
        <v>374</v>
      </c>
      <c r="H171" s="15" t="s">
        <v>384</v>
      </c>
      <c r="I171" s="16" t="s">
        <v>436</v>
      </c>
      <c r="J171" s="17"/>
      <c r="K171" s="40" t="str">
        <f>"210,0"</f>
        <v>210,0</v>
      </c>
      <c r="L171" s="17" t="str">
        <f>"124,9920"</f>
        <v>124,9920</v>
      </c>
      <c r="M171" s="14" t="s">
        <v>158</v>
      </c>
    </row>
    <row r="172" spans="1:13">
      <c r="A172" s="17" t="s">
        <v>183</v>
      </c>
      <c r="B172" s="14" t="s">
        <v>3346</v>
      </c>
      <c r="C172" s="14" t="s">
        <v>3347</v>
      </c>
      <c r="D172" s="14" t="s">
        <v>762</v>
      </c>
      <c r="E172" s="14" t="str">
        <f>"0,5912"</f>
        <v>0,5912</v>
      </c>
      <c r="F172" s="14" t="s">
        <v>3348</v>
      </c>
      <c r="G172" s="15" t="s">
        <v>374</v>
      </c>
      <c r="H172" s="15" t="s">
        <v>455</v>
      </c>
      <c r="I172" s="16" t="s">
        <v>495</v>
      </c>
      <c r="J172" s="17"/>
      <c r="K172" s="40" t="str">
        <f>"207,5"</f>
        <v>207,5</v>
      </c>
      <c r="L172" s="17" t="str">
        <f>"122,6740"</f>
        <v>122,6740</v>
      </c>
      <c r="M172" s="14" t="s">
        <v>3349</v>
      </c>
    </row>
    <row r="173" spans="1:13">
      <c r="A173" s="17" t="s">
        <v>186</v>
      </c>
      <c r="B173" s="14" t="s">
        <v>3350</v>
      </c>
      <c r="C173" s="14" t="s">
        <v>3351</v>
      </c>
      <c r="D173" s="14" t="s">
        <v>762</v>
      </c>
      <c r="E173" s="14" t="str">
        <f>"0,5912"</f>
        <v>0,5912</v>
      </c>
      <c r="F173" s="14" t="s">
        <v>176</v>
      </c>
      <c r="G173" s="15" t="s">
        <v>374</v>
      </c>
      <c r="H173" s="16" t="s">
        <v>384</v>
      </c>
      <c r="I173" s="16" t="s">
        <v>495</v>
      </c>
      <c r="J173" s="17"/>
      <c r="K173" s="40" t="str">
        <f>"200,0"</f>
        <v>200,0</v>
      </c>
      <c r="L173" s="17" t="str">
        <f>"118,2400"</f>
        <v>118,2400</v>
      </c>
      <c r="M173" s="14" t="s">
        <v>158</v>
      </c>
    </row>
    <row r="174" spans="1:13">
      <c r="A174" s="17" t="s">
        <v>556</v>
      </c>
      <c r="B174" s="14" t="s">
        <v>3352</v>
      </c>
      <c r="C174" s="14" t="s">
        <v>3353</v>
      </c>
      <c r="D174" s="14" t="s">
        <v>1217</v>
      </c>
      <c r="E174" s="14" t="str">
        <f>"0,5930"</f>
        <v>0,5930</v>
      </c>
      <c r="F174" s="14" t="s">
        <v>91</v>
      </c>
      <c r="G174" s="15" t="s">
        <v>392</v>
      </c>
      <c r="H174" s="15" t="s">
        <v>383</v>
      </c>
      <c r="I174" s="16" t="s">
        <v>374</v>
      </c>
      <c r="J174" s="17"/>
      <c r="K174" s="40" t="str">
        <f>"195,0"</f>
        <v>195,0</v>
      </c>
      <c r="L174" s="17" t="str">
        <f>"115,6350"</f>
        <v>115,6350</v>
      </c>
      <c r="M174" s="14" t="s">
        <v>3242</v>
      </c>
    </row>
    <row r="175" spans="1:13">
      <c r="A175" s="17" t="s">
        <v>559</v>
      </c>
      <c r="B175" s="14" t="s">
        <v>3354</v>
      </c>
      <c r="C175" s="14" t="s">
        <v>3355</v>
      </c>
      <c r="D175" s="14" t="s">
        <v>3356</v>
      </c>
      <c r="E175" s="14" t="str">
        <f>"0,5926"</f>
        <v>0,5926</v>
      </c>
      <c r="F175" s="14" t="s">
        <v>2315</v>
      </c>
      <c r="G175" s="15" t="s">
        <v>454</v>
      </c>
      <c r="H175" s="16" t="s">
        <v>374</v>
      </c>
      <c r="I175" s="16" t="s">
        <v>374</v>
      </c>
      <c r="J175" s="17"/>
      <c r="K175" s="40" t="str">
        <f>"192,5"</f>
        <v>192,5</v>
      </c>
      <c r="L175" s="17" t="str">
        <f>"114,0755"</f>
        <v>114,0755</v>
      </c>
      <c r="M175" s="14" t="s">
        <v>2316</v>
      </c>
    </row>
    <row r="176" spans="1:13">
      <c r="A176" s="17" t="s">
        <v>564</v>
      </c>
      <c r="B176" s="14" t="s">
        <v>3357</v>
      </c>
      <c r="C176" s="14" t="s">
        <v>1857</v>
      </c>
      <c r="D176" s="14" t="s">
        <v>3358</v>
      </c>
      <c r="E176" s="14" t="str">
        <f>"0,5887"</f>
        <v>0,5887</v>
      </c>
      <c r="F176" s="14" t="s">
        <v>3359</v>
      </c>
      <c r="G176" s="15" t="s">
        <v>398</v>
      </c>
      <c r="H176" s="16" t="s">
        <v>453</v>
      </c>
      <c r="I176" s="15" t="s">
        <v>453</v>
      </c>
      <c r="J176" s="17"/>
      <c r="K176" s="40" t="str">
        <f>"187,5"</f>
        <v>187,5</v>
      </c>
      <c r="L176" s="17" t="str">
        <f>"110,3812"</f>
        <v>110,3812</v>
      </c>
      <c r="M176" s="14" t="s">
        <v>3360</v>
      </c>
    </row>
    <row r="177" spans="1:13">
      <c r="A177" s="17" t="s">
        <v>569</v>
      </c>
      <c r="B177" s="14" t="s">
        <v>3361</v>
      </c>
      <c r="C177" s="14" t="s">
        <v>3362</v>
      </c>
      <c r="D177" s="14" t="s">
        <v>1232</v>
      </c>
      <c r="E177" s="14" t="str">
        <f>"0,5907"</f>
        <v>0,5907</v>
      </c>
      <c r="F177" s="14" t="s">
        <v>3363</v>
      </c>
      <c r="G177" s="16" t="s">
        <v>452</v>
      </c>
      <c r="H177" s="15" t="s">
        <v>368</v>
      </c>
      <c r="I177" s="16" t="s">
        <v>454</v>
      </c>
      <c r="J177" s="17"/>
      <c r="K177" s="40" t="str">
        <f>"185,0"</f>
        <v>185,0</v>
      </c>
      <c r="L177" s="17" t="str">
        <f>"109,2795"</f>
        <v>109,2795</v>
      </c>
      <c r="M177" s="14" t="s">
        <v>3364</v>
      </c>
    </row>
    <row r="178" spans="1:13">
      <c r="A178" s="17" t="s">
        <v>572</v>
      </c>
      <c r="B178" s="14" t="s">
        <v>3365</v>
      </c>
      <c r="C178" s="14" t="s">
        <v>3366</v>
      </c>
      <c r="D178" s="14" t="s">
        <v>3339</v>
      </c>
      <c r="E178" s="14" t="str">
        <f>"0,5895"</f>
        <v>0,5895</v>
      </c>
      <c r="F178" s="14" t="s">
        <v>91</v>
      </c>
      <c r="G178" s="15" t="s">
        <v>368</v>
      </c>
      <c r="H178" s="16" t="s">
        <v>392</v>
      </c>
      <c r="I178" s="16" t="s">
        <v>392</v>
      </c>
      <c r="J178" s="17"/>
      <c r="K178" s="40" t="str">
        <f>"185,0"</f>
        <v>185,0</v>
      </c>
      <c r="L178" s="17" t="str">
        <f>"109,0575"</f>
        <v>109,0575</v>
      </c>
      <c r="M178" s="14" t="s">
        <v>3156</v>
      </c>
    </row>
    <row r="179" spans="1:13">
      <c r="A179" s="17" t="s">
        <v>577</v>
      </c>
      <c r="B179" s="14" t="s">
        <v>3367</v>
      </c>
      <c r="C179" s="14" t="s">
        <v>3368</v>
      </c>
      <c r="D179" s="14" t="s">
        <v>1237</v>
      </c>
      <c r="E179" s="14" t="str">
        <f>"0,5909"</f>
        <v>0,5909</v>
      </c>
      <c r="F179" s="14" t="s">
        <v>91</v>
      </c>
      <c r="G179" s="15" t="s">
        <v>347</v>
      </c>
      <c r="H179" s="15" t="s">
        <v>351</v>
      </c>
      <c r="I179" s="16" t="s">
        <v>458</v>
      </c>
      <c r="J179" s="17"/>
      <c r="K179" s="40" t="str">
        <f>"175,0"</f>
        <v>175,0</v>
      </c>
      <c r="L179" s="17" t="str">
        <f>"103,4075"</f>
        <v>103,4075</v>
      </c>
      <c r="M179" s="14" t="s">
        <v>1305</v>
      </c>
    </row>
    <row r="180" spans="1:13">
      <c r="A180" s="17" t="s">
        <v>1810</v>
      </c>
      <c r="B180" s="14" t="s">
        <v>3369</v>
      </c>
      <c r="C180" s="14" t="s">
        <v>3370</v>
      </c>
      <c r="D180" s="14" t="s">
        <v>779</v>
      </c>
      <c r="E180" s="14" t="str">
        <f>"0,5919"</f>
        <v>0,5919</v>
      </c>
      <c r="F180" s="14" t="s">
        <v>91</v>
      </c>
      <c r="G180" s="15" t="s">
        <v>151</v>
      </c>
      <c r="H180" s="15" t="s">
        <v>347</v>
      </c>
      <c r="I180" s="16" t="s">
        <v>248</v>
      </c>
      <c r="J180" s="17"/>
      <c r="K180" s="40" t="str">
        <f>"167,5"</f>
        <v>167,5</v>
      </c>
      <c r="L180" s="17" t="str">
        <f>"99,1432"</f>
        <v>99,1432</v>
      </c>
      <c r="M180" s="14" t="s">
        <v>158</v>
      </c>
    </row>
    <row r="181" spans="1:13">
      <c r="A181" s="17" t="s">
        <v>92</v>
      </c>
      <c r="B181" s="14" t="s">
        <v>3371</v>
      </c>
      <c r="C181" s="14" t="s">
        <v>3372</v>
      </c>
      <c r="D181" s="14" t="s">
        <v>3373</v>
      </c>
      <c r="E181" s="14" t="str">
        <f>"0,6055"</f>
        <v>0,6055</v>
      </c>
      <c r="F181" s="14" t="s">
        <v>222</v>
      </c>
      <c r="G181" s="16" t="s">
        <v>454</v>
      </c>
      <c r="H181" s="16" t="s">
        <v>454</v>
      </c>
      <c r="I181" s="16" t="s">
        <v>454</v>
      </c>
      <c r="J181" s="17"/>
      <c r="K181" s="40">
        <v>0</v>
      </c>
      <c r="L181" s="17" t="str">
        <f>"0,0000"</f>
        <v>0,0000</v>
      </c>
      <c r="M181" s="14" t="s">
        <v>158</v>
      </c>
    </row>
    <row r="182" spans="1:13">
      <c r="A182" s="17" t="s">
        <v>92</v>
      </c>
      <c r="B182" s="14" t="s">
        <v>3374</v>
      </c>
      <c r="C182" s="14" t="s">
        <v>3375</v>
      </c>
      <c r="D182" s="14" t="s">
        <v>3376</v>
      </c>
      <c r="E182" s="14" t="str">
        <f>"0,5962"</f>
        <v>0,5962</v>
      </c>
      <c r="F182" s="14" t="s">
        <v>91</v>
      </c>
      <c r="G182" s="16" t="s">
        <v>70</v>
      </c>
      <c r="H182" s="16" t="s">
        <v>70</v>
      </c>
      <c r="I182" s="17"/>
      <c r="J182" s="17"/>
      <c r="K182" s="40">
        <v>0</v>
      </c>
      <c r="L182" s="17" t="str">
        <f>"0,0000"</f>
        <v>0,0000</v>
      </c>
      <c r="M182" s="14" t="s">
        <v>3377</v>
      </c>
    </row>
    <row r="183" spans="1:13">
      <c r="A183" s="17" t="s">
        <v>92</v>
      </c>
      <c r="B183" s="14" t="s">
        <v>3378</v>
      </c>
      <c r="C183" s="14" t="s">
        <v>3379</v>
      </c>
      <c r="D183" s="14" t="s">
        <v>2903</v>
      </c>
      <c r="E183" s="14" t="str">
        <f>"0,5916"</f>
        <v>0,5916</v>
      </c>
      <c r="F183" s="14" t="s">
        <v>176</v>
      </c>
      <c r="G183" s="16" t="s">
        <v>436</v>
      </c>
      <c r="H183" s="16" t="s">
        <v>436</v>
      </c>
      <c r="I183" s="16" t="s">
        <v>508</v>
      </c>
      <c r="J183" s="17"/>
      <c r="K183" s="40">
        <v>0</v>
      </c>
      <c r="L183" s="17" t="str">
        <f>"0,0000"</f>
        <v>0,0000</v>
      </c>
      <c r="M183" s="14" t="s">
        <v>158</v>
      </c>
    </row>
    <row r="184" spans="1:13">
      <c r="A184" s="17" t="s">
        <v>15</v>
      </c>
      <c r="B184" s="14" t="s">
        <v>3333</v>
      </c>
      <c r="C184" s="14" t="s">
        <v>3380</v>
      </c>
      <c r="D184" s="14" t="s">
        <v>3335</v>
      </c>
      <c r="E184" s="14" t="str">
        <f>"0,5943"</f>
        <v>0,5943</v>
      </c>
      <c r="F184" s="14" t="s">
        <v>2418</v>
      </c>
      <c r="G184" s="15" t="s">
        <v>421</v>
      </c>
      <c r="H184" s="16" t="s">
        <v>437</v>
      </c>
      <c r="I184" s="16" t="s">
        <v>437</v>
      </c>
      <c r="J184" s="17"/>
      <c r="K184" s="40" t="str">
        <f>"230,0"</f>
        <v>230,0</v>
      </c>
      <c r="L184" s="17" t="str">
        <f>"152,2715"</f>
        <v>152,2715</v>
      </c>
      <c r="M184" s="14" t="s">
        <v>158</v>
      </c>
    </row>
    <row r="185" spans="1:13">
      <c r="A185" s="17" t="s">
        <v>62</v>
      </c>
      <c r="B185" s="14" t="s">
        <v>3381</v>
      </c>
      <c r="C185" s="14" t="s">
        <v>3382</v>
      </c>
      <c r="D185" s="14" t="s">
        <v>3383</v>
      </c>
      <c r="E185" s="14" t="str">
        <f>"0,5928"</f>
        <v>0,5928</v>
      </c>
      <c r="F185" s="14" t="s">
        <v>513</v>
      </c>
      <c r="G185" s="15" t="s">
        <v>436</v>
      </c>
      <c r="H185" s="15" t="s">
        <v>385</v>
      </c>
      <c r="I185" s="16" t="s">
        <v>442</v>
      </c>
      <c r="J185" s="17"/>
      <c r="K185" s="40" t="str">
        <f>"222,5"</f>
        <v>222,5</v>
      </c>
      <c r="L185" s="17" t="str">
        <f>"135,5911"</f>
        <v>135,5911</v>
      </c>
      <c r="M185" s="14" t="s">
        <v>3384</v>
      </c>
    </row>
    <row r="186" spans="1:13">
      <c r="A186" s="17" t="s">
        <v>73</v>
      </c>
      <c r="B186" s="14" t="s">
        <v>3385</v>
      </c>
      <c r="C186" s="14" t="s">
        <v>3386</v>
      </c>
      <c r="D186" s="14" t="s">
        <v>1869</v>
      </c>
      <c r="E186" s="14" t="str">
        <f>"0,5990"</f>
        <v>0,5990</v>
      </c>
      <c r="F186" s="14" t="s">
        <v>91</v>
      </c>
      <c r="G186" s="15" t="s">
        <v>374</v>
      </c>
      <c r="H186" s="15" t="s">
        <v>384</v>
      </c>
      <c r="I186" s="15" t="s">
        <v>441</v>
      </c>
      <c r="J186" s="17"/>
      <c r="K186" s="40" t="str">
        <f>"217,5"</f>
        <v>217,5</v>
      </c>
      <c r="L186" s="17" t="str">
        <f>"145,1347"</f>
        <v>145,1347</v>
      </c>
      <c r="M186" s="14" t="s">
        <v>158</v>
      </c>
    </row>
    <row r="187" spans="1:13">
      <c r="A187" s="17" t="s">
        <v>75</v>
      </c>
      <c r="B187" s="14" t="s">
        <v>3387</v>
      </c>
      <c r="C187" s="14" t="s">
        <v>3388</v>
      </c>
      <c r="D187" s="14" t="s">
        <v>1228</v>
      </c>
      <c r="E187" s="14" t="str">
        <f>"0,5917"</f>
        <v>0,5917</v>
      </c>
      <c r="F187" s="14" t="s">
        <v>91</v>
      </c>
      <c r="G187" s="15" t="s">
        <v>384</v>
      </c>
      <c r="H187" s="16" t="s">
        <v>441</v>
      </c>
      <c r="I187" s="15" t="s">
        <v>441</v>
      </c>
      <c r="J187" s="17"/>
      <c r="K187" s="40" t="str">
        <f>"217,5"</f>
        <v>217,5</v>
      </c>
      <c r="L187" s="17" t="str">
        <f>"129,3382"</f>
        <v>129,3382</v>
      </c>
      <c r="M187" s="14" t="s">
        <v>3322</v>
      </c>
    </row>
    <row r="188" spans="1:13">
      <c r="A188" s="17" t="s">
        <v>87</v>
      </c>
      <c r="B188" s="14" t="s">
        <v>3389</v>
      </c>
      <c r="C188" s="14" t="s">
        <v>3390</v>
      </c>
      <c r="D188" s="14" t="s">
        <v>779</v>
      </c>
      <c r="E188" s="14" t="str">
        <f>"0,5919"</f>
        <v>0,5919</v>
      </c>
      <c r="F188" s="14" t="s">
        <v>91</v>
      </c>
      <c r="G188" s="16" t="s">
        <v>743</v>
      </c>
      <c r="H188" s="16" t="s">
        <v>384</v>
      </c>
      <c r="I188" s="15" t="s">
        <v>495</v>
      </c>
      <c r="J188" s="17"/>
      <c r="K188" s="40" t="str">
        <f>"212,5"</f>
        <v>212,5</v>
      </c>
      <c r="L188" s="17" t="str">
        <f>"125,7787"</f>
        <v>125,7787</v>
      </c>
      <c r="M188" s="14" t="s">
        <v>158</v>
      </c>
    </row>
    <row r="189" spans="1:13">
      <c r="A189" s="17" t="s">
        <v>168</v>
      </c>
      <c r="B189" s="14" t="s">
        <v>3391</v>
      </c>
      <c r="C189" s="14" t="s">
        <v>3392</v>
      </c>
      <c r="D189" s="14" t="s">
        <v>1881</v>
      </c>
      <c r="E189" s="14" t="str">
        <f>"0,5976"</f>
        <v>0,5976</v>
      </c>
      <c r="F189" s="14" t="s">
        <v>232</v>
      </c>
      <c r="G189" s="15" t="s">
        <v>374</v>
      </c>
      <c r="H189" s="15" t="s">
        <v>384</v>
      </c>
      <c r="I189" s="16" t="s">
        <v>436</v>
      </c>
      <c r="J189" s="17"/>
      <c r="K189" s="40" t="str">
        <f>"210,0"</f>
        <v>210,0</v>
      </c>
      <c r="L189" s="17" t="str">
        <f>"131,0178"</f>
        <v>131,0178</v>
      </c>
      <c r="M189" s="14" t="s">
        <v>3306</v>
      </c>
    </row>
    <row r="190" spans="1:13">
      <c r="A190" s="17" t="s">
        <v>172</v>
      </c>
      <c r="B190" s="14" t="s">
        <v>3393</v>
      </c>
      <c r="C190" s="14" t="s">
        <v>3394</v>
      </c>
      <c r="D190" s="14" t="s">
        <v>1847</v>
      </c>
      <c r="E190" s="14" t="str">
        <f>"0,5956"</f>
        <v>0,5956</v>
      </c>
      <c r="F190" s="14" t="s">
        <v>3110</v>
      </c>
      <c r="G190" s="15" t="s">
        <v>392</v>
      </c>
      <c r="H190" s="15" t="s">
        <v>374</v>
      </c>
      <c r="I190" s="16" t="s">
        <v>399</v>
      </c>
      <c r="J190" s="17"/>
      <c r="K190" s="40" t="str">
        <f>"200,0"</f>
        <v>200,0</v>
      </c>
      <c r="L190" s="17" t="str">
        <f>"132,6997"</f>
        <v>132,6997</v>
      </c>
      <c r="M190" s="14" t="s">
        <v>3395</v>
      </c>
    </row>
    <row r="191" spans="1:13">
      <c r="A191" s="17" t="s">
        <v>178</v>
      </c>
      <c r="B191" s="14" t="s">
        <v>1895</v>
      </c>
      <c r="C191" s="14" t="s">
        <v>1896</v>
      </c>
      <c r="D191" s="14" t="s">
        <v>1217</v>
      </c>
      <c r="E191" s="14" t="str">
        <f>"0,5930"</f>
        <v>0,5930</v>
      </c>
      <c r="F191" s="14" t="s">
        <v>1897</v>
      </c>
      <c r="G191" s="16" t="s">
        <v>454</v>
      </c>
      <c r="H191" s="15" t="s">
        <v>454</v>
      </c>
      <c r="I191" s="15" t="s">
        <v>374</v>
      </c>
      <c r="J191" s="17"/>
      <c r="K191" s="40" t="str">
        <f>"200,0"</f>
        <v>200,0</v>
      </c>
      <c r="L191" s="17" t="str">
        <f>"119,1930"</f>
        <v>119,1930</v>
      </c>
      <c r="M191" s="14" t="s">
        <v>158</v>
      </c>
    </row>
    <row r="192" spans="1:13">
      <c r="A192" s="17" t="s">
        <v>183</v>
      </c>
      <c r="B192" s="14" t="s">
        <v>3350</v>
      </c>
      <c r="C192" s="14" t="s">
        <v>3396</v>
      </c>
      <c r="D192" s="14" t="s">
        <v>762</v>
      </c>
      <c r="E192" s="14" t="str">
        <f>"0,5912"</f>
        <v>0,5912</v>
      </c>
      <c r="F192" s="14" t="s">
        <v>176</v>
      </c>
      <c r="G192" s="15" t="s">
        <v>374</v>
      </c>
      <c r="H192" s="16" t="s">
        <v>384</v>
      </c>
      <c r="I192" s="16" t="s">
        <v>495</v>
      </c>
      <c r="J192" s="17"/>
      <c r="K192" s="40" t="str">
        <f>"200,0"</f>
        <v>200,0</v>
      </c>
      <c r="L192" s="17" t="str">
        <f>"118,2400"</f>
        <v>118,2400</v>
      </c>
      <c r="M192" s="14" t="s">
        <v>158</v>
      </c>
    </row>
    <row r="193" spans="1:13">
      <c r="A193" s="17" t="s">
        <v>186</v>
      </c>
      <c r="B193" s="14" t="s">
        <v>3397</v>
      </c>
      <c r="C193" s="14" t="s">
        <v>3398</v>
      </c>
      <c r="D193" s="14" t="s">
        <v>732</v>
      </c>
      <c r="E193" s="14" t="str">
        <f>"0,5890"</f>
        <v>0,5890</v>
      </c>
      <c r="F193" s="14" t="s">
        <v>91</v>
      </c>
      <c r="G193" s="15" t="s">
        <v>368</v>
      </c>
      <c r="H193" s="15" t="s">
        <v>454</v>
      </c>
      <c r="I193" s="15" t="s">
        <v>506</v>
      </c>
      <c r="J193" s="17"/>
      <c r="K193" s="40" t="str">
        <f>"197,5"</f>
        <v>197,5</v>
      </c>
      <c r="L193" s="17" t="str">
        <f>"125,4010"</f>
        <v>125,4010</v>
      </c>
      <c r="M193" s="14" t="s">
        <v>1305</v>
      </c>
    </row>
    <row r="194" spans="1:13">
      <c r="A194" s="17" t="s">
        <v>556</v>
      </c>
      <c r="B194" s="14" t="s">
        <v>3399</v>
      </c>
      <c r="C194" s="14" t="s">
        <v>3400</v>
      </c>
      <c r="D194" s="14" t="s">
        <v>2884</v>
      </c>
      <c r="E194" s="14" t="str">
        <f>"0,6030"</f>
        <v>0,6030</v>
      </c>
      <c r="F194" s="14" t="s">
        <v>1238</v>
      </c>
      <c r="G194" s="15" t="s">
        <v>351</v>
      </c>
      <c r="H194" s="15" t="s">
        <v>458</v>
      </c>
      <c r="I194" s="16" t="s">
        <v>392</v>
      </c>
      <c r="J194" s="17"/>
      <c r="K194" s="40" t="str">
        <f>"182,5"</f>
        <v>182,5</v>
      </c>
      <c r="L194" s="17" t="str">
        <f>"116,6503"</f>
        <v>116,6503</v>
      </c>
      <c r="M194" s="14" t="s">
        <v>158</v>
      </c>
    </row>
    <row r="195" spans="1:13">
      <c r="A195" s="17" t="s">
        <v>559</v>
      </c>
      <c r="B195" s="14" t="s">
        <v>3401</v>
      </c>
      <c r="C195" s="14" t="s">
        <v>3402</v>
      </c>
      <c r="D195" s="14" t="s">
        <v>3356</v>
      </c>
      <c r="E195" s="14" t="str">
        <f>"0,5926"</f>
        <v>0,5926</v>
      </c>
      <c r="F195" s="14" t="s">
        <v>1121</v>
      </c>
      <c r="G195" s="15" t="s">
        <v>152</v>
      </c>
      <c r="H195" s="15" t="s">
        <v>351</v>
      </c>
      <c r="I195" s="16" t="s">
        <v>398</v>
      </c>
      <c r="J195" s="17"/>
      <c r="K195" s="40" t="str">
        <f>"175,0"</f>
        <v>175,0</v>
      </c>
      <c r="L195" s="17" t="str">
        <f>"108,2680"</f>
        <v>108,2680</v>
      </c>
      <c r="M195" s="14" t="s">
        <v>3403</v>
      </c>
    </row>
    <row r="196" spans="1:13">
      <c r="A196" s="17" t="s">
        <v>564</v>
      </c>
      <c r="B196" s="14" t="s">
        <v>3404</v>
      </c>
      <c r="C196" s="14" t="s">
        <v>3405</v>
      </c>
      <c r="D196" s="14" t="s">
        <v>2843</v>
      </c>
      <c r="E196" s="14" t="str">
        <f>"0,5986"</f>
        <v>0,5986</v>
      </c>
      <c r="F196" s="14" t="s">
        <v>906</v>
      </c>
      <c r="G196" s="15" t="s">
        <v>60</v>
      </c>
      <c r="H196" s="16" t="s">
        <v>151</v>
      </c>
      <c r="I196" s="15" t="s">
        <v>151</v>
      </c>
      <c r="J196" s="17"/>
      <c r="K196" s="40" t="str">
        <f>"160,0"</f>
        <v>160,0</v>
      </c>
      <c r="L196" s="17" t="str">
        <f>"96,2549"</f>
        <v>96,2549</v>
      </c>
      <c r="M196" s="14" t="s">
        <v>158</v>
      </c>
    </row>
    <row r="197" spans="1:13">
      <c r="A197" s="17" t="s">
        <v>15</v>
      </c>
      <c r="B197" s="14" t="s">
        <v>3343</v>
      </c>
      <c r="C197" s="14" t="s">
        <v>3406</v>
      </c>
      <c r="D197" s="14" t="s">
        <v>2926</v>
      </c>
      <c r="E197" s="14" t="str">
        <f>"0,5952"</f>
        <v>0,5952</v>
      </c>
      <c r="F197" s="14" t="s">
        <v>3345</v>
      </c>
      <c r="G197" s="15" t="s">
        <v>374</v>
      </c>
      <c r="H197" s="15" t="s">
        <v>384</v>
      </c>
      <c r="I197" s="16" t="s">
        <v>436</v>
      </c>
      <c r="J197" s="17"/>
      <c r="K197" s="40" t="str">
        <f>"210,0"</f>
        <v>210,0</v>
      </c>
      <c r="L197" s="17" t="str">
        <f>"156,2400"</f>
        <v>156,2400</v>
      </c>
      <c r="M197" s="14" t="s">
        <v>158</v>
      </c>
    </row>
    <row r="198" spans="1:13">
      <c r="A198" s="17" t="s">
        <v>62</v>
      </c>
      <c r="B198" s="14" t="s">
        <v>3407</v>
      </c>
      <c r="C198" s="14" t="s">
        <v>3408</v>
      </c>
      <c r="D198" s="14" t="s">
        <v>742</v>
      </c>
      <c r="E198" s="14" t="str">
        <f>"0,5923"</f>
        <v>0,5923</v>
      </c>
      <c r="F198" s="14" t="s">
        <v>2128</v>
      </c>
      <c r="G198" s="15" t="s">
        <v>374</v>
      </c>
      <c r="H198" s="16" t="s">
        <v>384</v>
      </c>
      <c r="I198" s="16" t="s">
        <v>384</v>
      </c>
      <c r="J198" s="17"/>
      <c r="K198" s="40" t="str">
        <f>"200,0"</f>
        <v>200,0</v>
      </c>
      <c r="L198" s="17" t="str">
        <f>"142,9812"</f>
        <v>142,9812</v>
      </c>
      <c r="M198" s="14" t="s">
        <v>158</v>
      </c>
    </row>
    <row r="199" spans="1:13">
      <c r="A199" s="17" t="s">
        <v>73</v>
      </c>
      <c r="B199" s="14" t="s">
        <v>3409</v>
      </c>
      <c r="C199" s="14" t="s">
        <v>3410</v>
      </c>
      <c r="D199" s="14" t="s">
        <v>1858</v>
      </c>
      <c r="E199" s="14" t="str">
        <f>"0,5933"</f>
        <v>0,5933</v>
      </c>
      <c r="F199" s="14" t="s">
        <v>3411</v>
      </c>
      <c r="G199" s="15" t="s">
        <v>368</v>
      </c>
      <c r="H199" s="15" t="s">
        <v>383</v>
      </c>
      <c r="I199" s="16" t="s">
        <v>374</v>
      </c>
      <c r="J199" s="17"/>
      <c r="K199" s="40" t="str">
        <f>"195,0"</f>
        <v>195,0</v>
      </c>
      <c r="L199" s="17" t="str">
        <f>"133,0475"</f>
        <v>133,0475</v>
      </c>
      <c r="M199" s="14" t="s">
        <v>3412</v>
      </c>
    </row>
    <row r="200" spans="1:13">
      <c r="A200" s="17" t="s">
        <v>75</v>
      </c>
      <c r="B200" s="14" t="s">
        <v>3413</v>
      </c>
      <c r="C200" s="14" t="s">
        <v>3414</v>
      </c>
      <c r="D200" s="14" t="s">
        <v>1847</v>
      </c>
      <c r="E200" s="14" t="str">
        <f>"0,5956"</f>
        <v>0,5956</v>
      </c>
      <c r="F200" s="14" t="s">
        <v>3415</v>
      </c>
      <c r="G200" s="16" t="s">
        <v>151</v>
      </c>
      <c r="H200" s="15" t="s">
        <v>248</v>
      </c>
      <c r="I200" s="16" t="s">
        <v>351</v>
      </c>
      <c r="J200" s="17"/>
      <c r="K200" s="40" t="str">
        <f>"170,0"</f>
        <v>170,0</v>
      </c>
      <c r="L200" s="17" t="str">
        <f>"118,2623"</f>
        <v>118,2623</v>
      </c>
      <c r="M200" s="14" t="s">
        <v>3416</v>
      </c>
    </row>
    <row r="201" spans="1:13">
      <c r="A201" s="17" t="s">
        <v>87</v>
      </c>
      <c r="B201" s="14" t="s">
        <v>3417</v>
      </c>
      <c r="C201" s="14" t="s">
        <v>3418</v>
      </c>
      <c r="D201" s="14" t="s">
        <v>3383</v>
      </c>
      <c r="E201" s="14" t="str">
        <f>"0,5928"</f>
        <v>0,5928</v>
      </c>
      <c r="F201" s="14" t="s">
        <v>3313</v>
      </c>
      <c r="G201" s="16" t="s">
        <v>248</v>
      </c>
      <c r="H201" s="15" t="s">
        <v>248</v>
      </c>
      <c r="I201" s="16" t="s">
        <v>398</v>
      </c>
      <c r="J201" s="17"/>
      <c r="K201" s="40" t="str">
        <f>"170,0"</f>
        <v>170,0</v>
      </c>
      <c r="L201" s="17" t="str">
        <f>"119,6211"</f>
        <v>119,6211</v>
      </c>
      <c r="M201" s="14" t="s">
        <v>158</v>
      </c>
    </row>
    <row r="202" spans="1:13">
      <c r="A202" s="17" t="s">
        <v>15</v>
      </c>
      <c r="B202" s="14" t="s">
        <v>3419</v>
      </c>
      <c r="C202" s="14" t="s">
        <v>3420</v>
      </c>
      <c r="D202" s="14" t="s">
        <v>1253</v>
      </c>
      <c r="E202" s="14" t="str">
        <f>"0,5893"</f>
        <v>0,5893</v>
      </c>
      <c r="F202" s="14" t="s">
        <v>3421</v>
      </c>
      <c r="G202" s="15" t="s">
        <v>152</v>
      </c>
      <c r="H202" s="15" t="s">
        <v>248</v>
      </c>
      <c r="I202" s="16" t="s">
        <v>550</v>
      </c>
      <c r="J202" s="17"/>
      <c r="K202" s="40" t="str">
        <f>"170,0"</f>
        <v>170,0</v>
      </c>
      <c r="L202" s="17" t="str">
        <f>"144,2606"</f>
        <v>144,2606</v>
      </c>
      <c r="M202" s="14" t="s">
        <v>3422</v>
      </c>
    </row>
    <row r="203" spans="1:13">
      <c r="A203" s="20" t="s">
        <v>62</v>
      </c>
      <c r="B203" s="18" t="s">
        <v>3423</v>
      </c>
      <c r="C203" s="18" t="s">
        <v>3424</v>
      </c>
      <c r="D203" s="18" t="s">
        <v>3425</v>
      </c>
      <c r="E203" s="18" t="str">
        <f>"0,6024"</f>
        <v>0,6024</v>
      </c>
      <c r="F203" s="18" t="s">
        <v>1204</v>
      </c>
      <c r="G203" s="22" t="s">
        <v>209</v>
      </c>
      <c r="H203" s="19" t="s">
        <v>147</v>
      </c>
      <c r="I203" s="19" t="s">
        <v>60</v>
      </c>
      <c r="J203" s="20"/>
      <c r="K203" s="38" t="str">
        <f>"150,0"</f>
        <v>150,0</v>
      </c>
      <c r="L203" s="20" t="str">
        <f>"127,4076"</f>
        <v>127,4076</v>
      </c>
      <c r="M203" s="18" t="s">
        <v>3426</v>
      </c>
    </row>
    <row r="204" spans="1:13">
      <c r="B204" s="5" t="s">
        <v>40</v>
      </c>
    </row>
    <row r="205" spans="1:13" ht="15.95">
      <c r="A205" s="102" t="s">
        <v>783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</row>
    <row r="206" spans="1:13">
      <c r="A206" s="13" t="s">
        <v>15</v>
      </c>
      <c r="B206" s="11" t="s">
        <v>3427</v>
      </c>
      <c r="C206" s="11" t="s">
        <v>3428</v>
      </c>
      <c r="D206" s="11" t="s">
        <v>3429</v>
      </c>
      <c r="E206" s="11" t="str">
        <f>"0,5746"</f>
        <v>0,5746</v>
      </c>
      <c r="F206" s="11" t="s">
        <v>1697</v>
      </c>
      <c r="G206" s="12" t="s">
        <v>458</v>
      </c>
      <c r="H206" s="12" t="s">
        <v>453</v>
      </c>
      <c r="I206" s="21" t="s">
        <v>383</v>
      </c>
      <c r="J206" s="13"/>
      <c r="K206" s="37" t="str">
        <f>"187,5"</f>
        <v>187,5</v>
      </c>
      <c r="L206" s="13" t="str">
        <f>"107,7375"</f>
        <v>107,7375</v>
      </c>
      <c r="M206" s="11" t="s">
        <v>158</v>
      </c>
    </row>
    <row r="207" spans="1:13">
      <c r="A207" s="17" t="s">
        <v>62</v>
      </c>
      <c r="B207" s="14" t="s">
        <v>3430</v>
      </c>
      <c r="C207" s="14" t="s">
        <v>3431</v>
      </c>
      <c r="D207" s="14" t="s">
        <v>3432</v>
      </c>
      <c r="E207" s="14" t="str">
        <f>"0,5768"</f>
        <v>0,5768</v>
      </c>
      <c r="F207" s="14" t="s">
        <v>1238</v>
      </c>
      <c r="G207" s="15" t="s">
        <v>151</v>
      </c>
      <c r="H207" s="16" t="s">
        <v>347</v>
      </c>
      <c r="I207" s="16" t="s">
        <v>347</v>
      </c>
      <c r="J207" s="17"/>
      <c r="K207" s="40" t="str">
        <f>"160,0"</f>
        <v>160,0</v>
      </c>
      <c r="L207" s="17" t="str">
        <f>"92,2880"</f>
        <v>92,2880</v>
      </c>
      <c r="M207" s="14" t="s">
        <v>3433</v>
      </c>
    </row>
    <row r="208" spans="1:13">
      <c r="A208" s="17" t="s">
        <v>92</v>
      </c>
      <c r="B208" s="14" t="s">
        <v>3434</v>
      </c>
      <c r="C208" s="14" t="s">
        <v>3435</v>
      </c>
      <c r="D208" s="14" t="s">
        <v>3436</v>
      </c>
      <c r="E208" s="14" t="str">
        <f>"0,5827"</f>
        <v>0,5827</v>
      </c>
      <c r="F208" s="14" t="s">
        <v>2714</v>
      </c>
      <c r="G208" s="16" t="s">
        <v>495</v>
      </c>
      <c r="H208" s="16" t="s">
        <v>495</v>
      </c>
      <c r="I208" s="16" t="s">
        <v>436</v>
      </c>
      <c r="J208" s="17"/>
      <c r="K208" s="40">
        <v>0</v>
      </c>
      <c r="L208" s="17" t="str">
        <f>"0,0000"</f>
        <v>0,0000</v>
      </c>
      <c r="M208" s="14" t="s">
        <v>158</v>
      </c>
    </row>
    <row r="209" spans="1:13">
      <c r="A209" s="17" t="s">
        <v>15</v>
      </c>
      <c r="B209" s="14" t="s">
        <v>1911</v>
      </c>
      <c r="C209" s="14" t="s">
        <v>1912</v>
      </c>
      <c r="D209" s="14" t="s">
        <v>1913</v>
      </c>
      <c r="E209" s="14" t="str">
        <f>"0,5786"</f>
        <v>0,5786</v>
      </c>
      <c r="F209" s="14" t="s">
        <v>594</v>
      </c>
      <c r="G209" s="15" t="s">
        <v>422</v>
      </c>
      <c r="H209" s="15" t="s">
        <v>490</v>
      </c>
      <c r="I209" s="16" t="s">
        <v>529</v>
      </c>
      <c r="J209" s="17"/>
      <c r="K209" s="40" t="str">
        <f>"250,0"</f>
        <v>250,0</v>
      </c>
      <c r="L209" s="17" t="str">
        <f>"144,6500"</f>
        <v>144,6500</v>
      </c>
      <c r="M209" s="14" t="s">
        <v>158</v>
      </c>
    </row>
    <row r="210" spans="1:13">
      <c r="A210" s="17" t="s">
        <v>62</v>
      </c>
      <c r="B210" s="14" t="s">
        <v>3437</v>
      </c>
      <c r="C210" s="14" t="s">
        <v>3438</v>
      </c>
      <c r="D210" s="14" t="s">
        <v>1295</v>
      </c>
      <c r="E210" s="14" t="str">
        <f>"0,5698"</f>
        <v>0,5698</v>
      </c>
      <c r="F210" s="14" t="s">
        <v>91</v>
      </c>
      <c r="G210" s="15" t="s">
        <v>459</v>
      </c>
      <c r="H210" s="15" t="s">
        <v>627</v>
      </c>
      <c r="I210" s="16" t="s">
        <v>490</v>
      </c>
      <c r="J210" s="17"/>
      <c r="K210" s="40" t="str">
        <f>"245,0"</f>
        <v>245,0</v>
      </c>
      <c r="L210" s="17" t="str">
        <f>"139,6010"</f>
        <v>139,6010</v>
      </c>
      <c r="M210" s="14" t="s">
        <v>1518</v>
      </c>
    </row>
    <row r="211" spans="1:13">
      <c r="A211" s="17" t="s">
        <v>73</v>
      </c>
      <c r="B211" s="14" t="s">
        <v>3439</v>
      </c>
      <c r="C211" s="14" t="s">
        <v>3440</v>
      </c>
      <c r="D211" s="14" t="s">
        <v>3441</v>
      </c>
      <c r="E211" s="14" t="str">
        <f>"0,5755"</f>
        <v>0,5755</v>
      </c>
      <c r="F211" s="14" t="s">
        <v>91</v>
      </c>
      <c r="G211" s="15" t="s">
        <v>421</v>
      </c>
      <c r="H211" s="16" t="s">
        <v>422</v>
      </c>
      <c r="I211" s="15" t="s">
        <v>422</v>
      </c>
      <c r="J211" s="17"/>
      <c r="K211" s="40" t="str">
        <f>"240,0"</f>
        <v>240,0</v>
      </c>
      <c r="L211" s="17" t="str">
        <f>"138,1200"</f>
        <v>138,1200</v>
      </c>
      <c r="M211" s="14" t="s">
        <v>158</v>
      </c>
    </row>
    <row r="212" spans="1:13">
      <c r="A212" s="17" t="s">
        <v>75</v>
      </c>
      <c r="B212" s="14" t="s">
        <v>3442</v>
      </c>
      <c r="C212" s="14" t="s">
        <v>3443</v>
      </c>
      <c r="D212" s="14" t="s">
        <v>3444</v>
      </c>
      <c r="E212" s="14" t="str">
        <f>"0,5738"</f>
        <v>0,5738</v>
      </c>
      <c r="F212" s="14" t="s">
        <v>3445</v>
      </c>
      <c r="G212" s="15" t="s">
        <v>420</v>
      </c>
      <c r="H212" s="15" t="s">
        <v>421</v>
      </c>
      <c r="I212" s="15" t="s">
        <v>459</v>
      </c>
      <c r="J212" s="17"/>
      <c r="K212" s="40" t="str">
        <f>"235,0"</f>
        <v>235,0</v>
      </c>
      <c r="L212" s="17" t="str">
        <f>"134,8430"</f>
        <v>134,8430</v>
      </c>
      <c r="M212" s="14" t="s">
        <v>3198</v>
      </c>
    </row>
    <row r="213" spans="1:13">
      <c r="A213" s="17" t="s">
        <v>87</v>
      </c>
      <c r="B213" s="14" t="s">
        <v>3446</v>
      </c>
      <c r="C213" s="14" t="s">
        <v>3447</v>
      </c>
      <c r="D213" s="14" t="s">
        <v>3448</v>
      </c>
      <c r="E213" s="14" t="str">
        <f>"0,5734"</f>
        <v>0,5734</v>
      </c>
      <c r="F213" s="14" t="s">
        <v>906</v>
      </c>
      <c r="G213" s="15" t="s">
        <v>459</v>
      </c>
      <c r="H213" s="16" t="s">
        <v>422</v>
      </c>
      <c r="I213" s="16" t="s">
        <v>422</v>
      </c>
      <c r="J213" s="17"/>
      <c r="K213" s="40" t="str">
        <f>"235,0"</f>
        <v>235,0</v>
      </c>
      <c r="L213" s="17" t="str">
        <f>"134,7490"</f>
        <v>134,7490</v>
      </c>
      <c r="M213" s="14" t="s">
        <v>3156</v>
      </c>
    </row>
    <row r="214" spans="1:13">
      <c r="A214" s="17" t="s">
        <v>168</v>
      </c>
      <c r="B214" s="14" t="s">
        <v>3449</v>
      </c>
      <c r="C214" s="14" t="s">
        <v>3450</v>
      </c>
      <c r="D214" s="14" t="s">
        <v>3451</v>
      </c>
      <c r="E214" s="14" t="str">
        <f>"0,5720"</f>
        <v>0,5720</v>
      </c>
      <c r="F214" s="14" t="s">
        <v>3452</v>
      </c>
      <c r="G214" s="15" t="s">
        <v>459</v>
      </c>
      <c r="H214" s="16" t="s">
        <v>437</v>
      </c>
      <c r="I214" s="16" t="s">
        <v>437</v>
      </c>
      <c r="J214" s="17"/>
      <c r="K214" s="40" t="str">
        <f>"235,0"</f>
        <v>235,0</v>
      </c>
      <c r="L214" s="17" t="str">
        <f>"134,4200"</f>
        <v>134,4200</v>
      </c>
      <c r="M214" s="14" t="s">
        <v>3453</v>
      </c>
    </row>
    <row r="215" spans="1:13">
      <c r="A215" s="17" t="s">
        <v>172</v>
      </c>
      <c r="B215" s="14" t="s">
        <v>3454</v>
      </c>
      <c r="C215" s="14" t="s">
        <v>3455</v>
      </c>
      <c r="D215" s="14" t="s">
        <v>3456</v>
      </c>
      <c r="E215" s="14" t="str">
        <f>"0,5717"</f>
        <v>0,5717</v>
      </c>
      <c r="F215" s="14" t="s">
        <v>91</v>
      </c>
      <c r="G215" s="15" t="s">
        <v>442</v>
      </c>
      <c r="H215" s="15" t="s">
        <v>508</v>
      </c>
      <c r="I215" s="16" t="s">
        <v>422</v>
      </c>
      <c r="J215" s="17"/>
      <c r="K215" s="40">
        <v>232.5</v>
      </c>
      <c r="L215" s="17" t="str">
        <f>"128,6325"</f>
        <v>128,6325</v>
      </c>
      <c r="M215" s="14" t="s">
        <v>3185</v>
      </c>
    </row>
    <row r="216" spans="1:13">
      <c r="A216" s="17" t="s">
        <v>178</v>
      </c>
      <c r="B216" s="14" t="s">
        <v>3457</v>
      </c>
      <c r="C216" s="14" t="s">
        <v>3458</v>
      </c>
      <c r="D216" s="14" t="s">
        <v>1313</v>
      </c>
      <c r="E216" s="14" t="str">
        <f>"0,5735"</f>
        <v>0,5735</v>
      </c>
      <c r="F216" s="14" t="s">
        <v>91</v>
      </c>
      <c r="G216" s="15" t="s">
        <v>398</v>
      </c>
      <c r="H216" s="16" t="s">
        <v>392</v>
      </c>
      <c r="I216" s="16" t="s">
        <v>392</v>
      </c>
      <c r="J216" s="17"/>
      <c r="K216" s="40" t="str">
        <f>"180,0"</f>
        <v>180,0</v>
      </c>
      <c r="L216" s="17" t="str">
        <f>"103,2300"</f>
        <v>103,2300</v>
      </c>
      <c r="M216" s="14" t="s">
        <v>3242</v>
      </c>
    </row>
    <row r="217" spans="1:13">
      <c r="A217" s="17" t="s">
        <v>183</v>
      </c>
      <c r="B217" s="14" t="s">
        <v>3459</v>
      </c>
      <c r="C217" s="14" t="s">
        <v>3460</v>
      </c>
      <c r="D217" s="14" t="s">
        <v>3461</v>
      </c>
      <c r="E217" s="14" t="str">
        <f>"0,5715"</f>
        <v>0,5715</v>
      </c>
      <c r="F217" s="14" t="s">
        <v>1121</v>
      </c>
      <c r="G217" s="15" t="s">
        <v>152</v>
      </c>
      <c r="H217" s="15" t="s">
        <v>351</v>
      </c>
      <c r="I217" s="16" t="s">
        <v>398</v>
      </c>
      <c r="J217" s="17"/>
      <c r="K217" s="40" t="str">
        <f>"175,0"</f>
        <v>175,0</v>
      </c>
      <c r="L217" s="17" t="str">
        <f>"100,0125"</f>
        <v>100,0125</v>
      </c>
      <c r="M217" s="14" t="s">
        <v>3462</v>
      </c>
    </row>
    <row r="218" spans="1:13">
      <c r="A218" s="17" t="s">
        <v>186</v>
      </c>
      <c r="B218" s="14" t="s">
        <v>3463</v>
      </c>
      <c r="C218" s="14" t="s">
        <v>3464</v>
      </c>
      <c r="D218" s="14" t="s">
        <v>2269</v>
      </c>
      <c r="E218" s="14" t="str">
        <f>"0,5813"</f>
        <v>0,5813</v>
      </c>
      <c r="F218" s="14" t="s">
        <v>1063</v>
      </c>
      <c r="G218" s="15" t="s">
        <v>59</v>
      </c>
      <c r="H218" s="15" t="s">
        <v>205</v>
      </c>
      <c r="I218" s="16" t="s">
        <v>152</v>
      </c>
      <c r="J218" s="17"/>
      <c r="K218" s="40" t="str">
        <f>"155,0"</f>
        <v>155,0</v>
      </c>
      <c r="L218" s="17" t="str">
        <f>"90,1015"</f>
        <v>90,1015</v>
      </c>
      <c r="M218" s="14" t="s">
        <v>2316</v>
      </c>
    </row>
    <row r="219" spans="1:13">
      <c r="A219" s="17" t="s">
        <v>92</v>
      </c>
      <c r="B219" s="14" t="s">
        <v>3465</v>
      </c>
      <c r="C219" s="14" t="s">
        <v>3466</v>
      </c>
      <c r="D219" s="14" t="s">
        <v>1981</v>
      </c>
      <c r="E219" s="14" t="str">
        <f>"0,5846"</f>
        <v>0,5846</v>
      </c>
      <c r="F219" s="14" t="s">
        <v>91</v>
      </c>
      <c r="G219" s="16" t="s">
        <v>152</v>
      </c>
      <c r="H219" s="16" t="s">
        <v>152</v>
      </c>
      <c r="I219" s="16" t="s">
        <v>152</v>
      </c>
      <c r="J219" s="17"/>
      <c r="K219" s="40">
        <v>0</v>
      </c>
      <c r="L219" s="17" t="str">
        <f>"0,0000"</f>
        <v>0,0000</v>
      </c>
      <c r="M219" s="14" t="s">
        <v>158</v>
      </c>
    </row>
    <row r="220" spans="1:13">
      <c r="A220" s="17" t="s">
        <v>92</v>
      </c>
      <c r="B220" s="14" t="s">
        <v>3467</v>
      </c>
      <c r="C220" s="14" t="s">
        <v>3468</v>
      </c>
      <c r="D220" s="14" t="s">
        <v>1553</v>
      </c>
      <c r="E220" s="14" t="str">
        <f>"0,5778"</f>
        <v>0,5778</v>
      </c>
      <c r="F220" s="14" t="s">
        <v>1897</v>
      </c>
      <c r="G220" s="16" t="s">
        <v>420</v>
      </c>
      <c r="H220" s="16" t="s">
        <v>420</v>
      </c>
      <c r="I220" s="16" t="s">
        <v>420</v>
      </c>
      <c r="J220" s="17"/>
      <c r="K220" s="40">
        <v>0</v>
      </c>
      <c r="L220" s="17" t="str">
        <f>"0,0000"</f>
        <v>0,0000</v>
      </c>
      <c r="M220" s="14" t="s">
        <v>158</v>
      </c>
    </row>
    <row r="221" spans="1:13">
      <c r="A221" s="17" t="s">
        <v>92</v>
      </c>
      <c r="B221" s="14" t="s">
        <v>3469</v>
      </c>
      <c r="C221" s="14" t="s">
        <v>3470</v>
      </c>
      <c r="D221" s="14" t="s">
        <v>1553</v>
      </c>
      <c r="E221" s="14" t="str">
        <f>"0,5778"</f>
        <v>0,5778</v>
      </c>
      <c r="F221" s="14" t="s">
        <v>1870</v>
      </c>
      <c r="G221" s="16" t="s">
        <v>420</v>
      </c>
      <c r="H221" s="16" t="s">
        <v>420</v>
      </c>
      <c r="I221" s="16" t="s">
        <v>420</v>
      </c>
      <c r="J221" s="17"/>
      <c r="K221" s="40">
        <v>0</v>
      </c>
      <c r="L221" s="17" t="str">
        <f>"0,0000"</f>
        <v>0,0000</v>
      </c>
      <c r="M221" s="14" t="s">
        <v>2851</v>
      </c>
    </row>
    <row r="222" spans="1:13">
      <c r="A222" s="17" t="s">
        <v>92</v>
      </c>
      <c r="B222" s="14" t="s">
        <v>3471</v>
      </c>
      <c r="C222" s="14" t="s">
        <v>3472</v>
      </c>
      <c r="D222" s="14" t="s">
        <v>1940</v>
      </c>
      <c r="E222" s="14" t="str">
        <f>"0,5719"</f>
        <v>0,5719</v>
      </c>
      <c r="F222" s="14" t="s">
        <v>3473</v>
      </c>
      <c r="G222" s="16" t="s">
        <v>422</v>
      </c>
      <c r="H222" s="16" t="s">
        <v>422</v>
      </c>
      <c r="I222" s="16" t="s">
        <v>422</v>
      </c>
      <c r="J222" s="17"/>
      <c r="K222" s="40">
        <v>0</v>
      </c>
      <c r="L222" s="17" t="str">
        <f>"0,0000"</f>
        <v>0,0000</v>
      </c>
      <c r="M222" s="14" t="s">
        <v>158</v>
      </c>
    </row>
    <row r="223" spans="1:13">
      <c r="A223" s="17" t="s">
        <v>92</v>
      </c>
      <c r="B223" s="14" t="s">
        <v>3474</v>
      </c>
      <c r="C223" s="14" t="s">
        <v>3475</v>
      </c>
      <c r="D223" s="14" t="s">
        <v>3476</v>
      </c>
      <c r="E223" s="14" t="str">
        <f>"0,5706"</f>
        <v>0,5706</v>
      </c>
      <c r="F223" s="14" t="s">
        <v>91</v>
      </c>
      <c r="G223" s="16" t="s">
        <v>392</v>
      </c>
      <c r="H223" s="16" t="s">
        <v>743</v>
      </c>
      <c r="I223" s="16" t="s">
        <v>743</v>
      </c>
      <c r="J223" s="17"/>
      <c r="K223" s="40">
        <v>0</v>
      </c>
      <c r="L223" s="17" t="str">
        <f>"0,0000"</f>
        <v>0,0000</v>
      </c>
      <c r="M223" s="14" t="s">
        <v>3477</v>
      </c>
    </row>
    <row r="224" spans="1:13">
      <c r="A224" s="17" t="s">
        <v>15</v>
      </c>
      <c r="B224" s="14" t="s">
        <v>3478</v>
      </c>
      <c r="C224" s="14" t="s">
        <v>3479</v>
      </c>
      <c r="D224" s="14" t="s">
        <v>2266</v>
      </c>
      <c r="E224" s="14" t="str">
        <f>"0,5769"</f>
        <v>0,5769</v>
      </c>
      <c r="F224" s="14" t="s">
        <v>900</v>
      </c>
      <c r="G224" s="16" t="s">
        <v>454</v>
      </c>
      <c r="H224" s="16" t="s">
        <v>454</v>
      </c>
      <c r="I224" s="15" t="s">
        <v>454</v>
      </c>
      <c r="J224" s="17"/>
      <c r="K224" s="40" t="str">
        <f>"192,5"</f>
        <v>192,5</v>
      </c>
      <c r="L224" s="17" t="str">
        <f>"115,9396"</f>
        <v>115,9396</v>
      </c>
      <c r="M224" s="14" t="s">
        <v>158</v>
      </c>
    </row>
    <row r="225" spans="1:13">
      <c r="A225" s="17" t="s">
        <v>62</v>
      </c>
      <c r="B225" s="14" t="s">
        <v>1971</v>
      </c>
      <c r="C225" s="14" t="s">
        <v>1972</v>
      </c>
      <c r="D225" s="14" t="s">
        <v>1973</v>
      </c>
      <c r="E225" s="14" t="str">
        <f>"0,5819"</f>
        <v>0,5819</v>
      </c>
      <c r="F225" s="14" t="s">
        <v>602</v>
      </c>
      <c r="G225" s="15" t="s">
        <v>58</v>
      </c>
      <c r="H225" s="16" t="s">
        <v>205</v>
      </c>
      <c r="I225" s="15" t="s">
        <v>151</v>
      </c>
      <c r="J225" s="17"/>
      <c r="K225" s="40" t="str">
        <f>"160,0"</f>
        <v>160,0</v>
      </c>
      <c r="L225" s="17" t="str">
        <f>"93,5695"</f>
        <v>93,5695</v>
      </c>
      <c r="M225" s="14" t="s">
        <v>158</v>
      </c>
    </row>
    <row r="226" spans="1:13">
      <c r="A226" s="17" t="s">
        <v>92</v>
      </c>
      <c r="B226" s="14" t="s">
        <v>3480</v>
      </c>
      <c r="C226" s="14" t="s">
        <v>3481</v>
      </c>
      <c r="D226" s="14" t="s">
        <v>3482</v>
      </c>
      <c r="E226" s="14" t="str">
        <f>"0,5791"</f>
        <v>0,5791</v>
      </c>
      <c r="F226" s="14" t="s">
        <v>1063</v>
      </c>
      <c r="G226" s="16" t="s">
        <v>398</v>
      </c>
      <c r="H226" s="16" t="s">
        <v>398</v>
      </c>
      <c r="I226" s="17"/>
      <c r="J226" s="17"/>
      <c r="K226" s="40">
        <v>0</v>
      </c>
      <c r="L226" s="17" t="str">
        <f>"0,0000"</f>
        <v>0,0000</v>
      </c>
      <c r="M226" s="14" t="s">
        <v>158</v>
      </c>
    </row>
    <row r="227" spans="1:13">
      <c r="A227" s="17" t="s">
        <v>15</v>
      </c>
      <c r="B227" s="14" t="s">
        <v>3454</v>
      </c>
      <c r="C227" s="14" t="s">
        <v>3483</v>
      </c>
      <c r="D227" s="14" t="s">
        <v>3456</v>
      </c>
      <c r="E227" s="14" t="str">
        <f>"0,5717"</f>
        <v>0,5717</v>
      </c>
      <c r="F227" s="14" t="s">
        <v>91</v>
      </c>
      <c r="G227" s="15" t="s">
        <v>442</v>
      </c>
      <c r="H227" s="15" t="s">
        <v>508</v>
      </c>
      <c r="I227" s="16" t="s">
        <v>422</v>
      </c>
      <c r="J227" s="17"/>
      <c r="K227" s="40" t="str">
        <f>"232,5"</f>
        <v>232,5</v>
      </c>
      <c r="L227" s="17" t="str">
        <f>"155,2508"</f>
        <v>155,2508</v>
      </c>
      <c r="M227" s="14" t="s">
        <v>3185</v>
      </c>
    </row>
    <row r="228" spans="1:13">
      <c r="A228" s="17" t="s">
        <v>15</v>
      </c>
      <c r="B228" s="14" t="s">
        <v>3484</v>
      </c>
      <c r="C228" s="14" t="s">
        <v>3485</v>
      </c>
      <c r="D228" s="14" t="s">
        <v>3486</v>
      </c>
      <c r="E228" s="14" t="str">
        <f>"0,5821"</f>
        <v>0,5821</v>
      </c>
      <c r="F228" s="14" t="s">
        <v>669</v>
      </c>
      <c r="G228" s="15" t="s">
        <v>151</v>
      </c>
      <c r="H228" s="15" t="s">
        <v>248</v>
      </c>
      <c r="I228" s="16" t="s">
        <v>351</v>
      </c>
      <c r="J228" s="17"/>
      <c r="K228" s="40" t="str">
        <f>"170,0"</f>
        <v>170,0</v>
      </c>
      <c r="L228" s="17" t="str">
        <f>"151,7011"</f>
        <v>151,7011</v>
      </c>
      <c r="M228" s="14" t="s">
        <v>158</v>
      </c>
    </row>
    <row r="229" spans="1:13">
      <c r="A229" s="20" t="s">
        <v>62</v>
      </c>
      <c r="B229" s="18" t="s">
        <v>1979</v>
      </c>
      <c r="C229" s="18" t="s">
        <v>1980</v>
      </c>
      <c r="D229" s="18" t="s">
        <v>1981</v>
      </c>
      <c r="E229" s="18" t="str">
        <f>"0,5846"</f>
        <v>0,5846</v>
      </c>
      <c r="F229" s="18" t="s">
        <v>1238</v>
      </c>
      <c r="G229" s="19" t="s">
        <v>209</v>
      </c>
      <c r="H229" s="19" t="s">
        <v>58</v>
      </c>
      <c r="I229" s="19" t="s">
        <v>346</v>
      </c>
      <c r="J229" s="20"/>
      <c r="K229" s="38" t="str">
        <f>"142,5"</f>
        <v>142,5</v>
      </c>
      <c r="L229" s="20" t="str">
        <f>"114,9616"</f>
        <v>114,9616</v>
      </c>
      <c r="M229" s="18" t="s">
        <v>158</v>
      </c>
    </row>
    <row r="230" spans="1:13">
      <c r="B230" s="5" t="s">
        <v>40</v>
      </c>
    </row>
    <row r="231" spans="1:13" ht="15.95">
      <c r="A231" s="102" t="s">
        <v>794</v>
      </c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</row>
    <row r="232" spans="1:13">
      <c r="A232" s="13" t="s">
        <v>15</v>
      </c>
      <c r="B232" s="11" t="s">
        <v>3487</v>
      </c>
      <c r="C232" s="11" t="s">
        <v>3488</v>
      </c>
      <c r="D232" s="11" t="s">
        <v>3489</v>
      </c>
      <c r="E232" s="11" t="str">
        <f>"0,5625"</f>
        <v>0,5625</v>
      </c>
      <c r="F232" s="11" t="s">
        <v>1889</v>
      </c>
      <c r="G232" s="12" t="s">
        <v>422</v>
      </c>
      <c r="H232" s="12" t="s">
        <v>529</v>
      </c>
      <c r="I232" s="12" t="s">
        <v>491</v>
      </c>
      <c r="J232" s="13"/>
      <c r="K232" s="37" t="str">
        <f>"265,0"</f>
        <v>265,0</v>
      </c>
      <c r="L232" s="13" t="str">
        <f>"149,0625"</f>
        <v>149,0625</v>
      </c>
      <c r="M232" s="11" t="s">
        <v>158</v>
      </c>
    </row>
    <row r="233" spans="1:13">
      <c r="A233" s="17" t="s">
        <v>62</v>
      </c>
      <c r="B233" s="14" t="s">
        <v>1997</v>
      </c>
      <c r="C233" s="14" t="s">
        <v>268</v>
      </c>
      <c r="D233" s="14" t="s">
        <v>1998</v>
      </c>
      <c r="E233" s="14" t="str">
        <f>"0,5637"</f>
        <v>0,5637</v>
      </c>
      <c r="F233" s="14" t="s">
        <v>1694</v>
      </c>
      <c r="G233" s="15" t="s">
        <v>442</v>
      </c>
      <c r="H233" s="15" t="s">
        <v>459</v>
      </c>
      <c r="I233" s="15" t="s">
        <v>490</v>
      </c>
      <c r="J233" s="17"/>
      <c r="K233" s="40" t="str">
        <f>"250,0"</f>
        <v>250,0</v>
      </c>
      <c r="L233" s="17" t="str">
        <f>"140,9250"</f>
        <v>140,9250</v>
      </c>
      <c r="M233" s="14" t="s">
        <v>158</v>
      </c>
    </row>
    <row r="234" spans="1:13">
      <c r="A234" s="17" t="s">
        <v>73</v>
      </c>
      <c r="B234" s="14" t="s">
        <v>3490</v>
      </c>
      <c r="C234" s="14" t="s">
        <v>3491</v>
      </c>
      <c r="D234" s="14" t="s">
        <v>3492</v>
      </c>
      <c r="E234" s="14" t="str">
        <f>"0,5629"</f>
        <v>0,5629</v>
      </c>
      <c r="F234" s="14" t="s">
        <v>1279</v>
      </c>
      <c r="G234" s="15" t="s">
        <v>420</v>
      </c>
      <c r="H234" s="15" t="s">
        <v>421</v>
      </c>
      <c r="I234" s="15" t="s">
        <v>459</v>
      </c>
      <c r="J234" s="17"/>
      <c r="K234" s="40" t="str">
        <f>"235,0"</f>
        <v>235,0</v>
      </c>
      <c r="L234" s="17" t="str">
        <f>"132,2815"</f>
        <v>132,2815</v>
      </c>
      <c r="M234" s="14" t="s">
        <v>158</v>
      </c>
    </row>
    <row r="235" spans="1:13">
      <c r="A235" s="17" t="s">
        <v>75</v>
      </c>
      <c r="B235" s="14" t="s">
        <v>3493</v>
      </c>
      <c r="C235" s="14" t="s">
        <v>3494</v>
      </c>
      <c r="D235" s="14" t="s">
        <v>3495</v>
      </c>
      <c r="E235" s="14" t="str">
        <f>"0,5658"</f>
        <v>0,5658</v>
      </c>
      <c r="F235" s="14" t="s">
        <v>1694</v>
      </c>
      <c r="G235" s="16" t="s">
        <v>436</v>
      </c>
      <c r="H235" s="15" t="s">
        <v>420</v>
      </c>
      <c r="I235" s="16" t="s">
        <v>459</v>
      </c>
      <c r="J235" s="17"/>
      <c r="K235" s="40" t="str">
        <f>"220,0"</f>
        <v>220,0</v>
      </c>
      <c r="L235" s="17" t="str">
        <f>"124,4760"</f>
        <v>124,4760</v>
      </c>
      <c r="M235" s="14" t="s">
        <v>981</v>
      </c>
    </row>
    <row r="236" spans="1:13">
      <c r="A236" s="17" t="s">
        <v>87</v>
      </c>
      <c r="B236" s="14" t="s">
        <v>3496</v>
      </c>
      <c r="C236" s="14" t="s">
        <v>3497</v>
      </c>
      <c r="D236" s="14" t="s">
        <v>1993</v>
      </c>
      <c r="E236" s="14" t="str">
        <f>"0,5641"</f>
        <v>0,5641</v>
      </c>
      <c r="F236" s="14" t="s">
        <v>1121</v>
      </c>
      <c r="G236" s="15" t="s">
        <v>383</v>
      </c>
      <c r="H236" s="15" t="s">
        <v>399</v>
      </c>
      <c r="I236" s="16" t="s">
        <v>384</v>
      </c>
      <c r="J236" s="17"/>
      <c r="K236" s="40" t="str">
        <f>"205,0"</f>
        <v>205,0</v>
      </c>
      <c r="L236" s="17" t="str">
        <f>"115,6405"</f>
        <v>115,6405</v>
      </c>
      <c r="M236" s="14" t="s">
        <v>158</v>
      </c>
    </row>
    <row r="237" spans="1:13">
      <c r="A237" s="17" t="s">
        <v>168</v>
      </c>
      <c r="B237" s="14" t="s">
        <v>3498</v>
      </c>
      <c r="C237" s="14" t="s">
        <v>3499</v>
      </c>
      <c r="D237" s="14" t="s">
        <v>3500</v>
      </c>
      <c r="E237" s="14" t="str">
        <f>"0,5631"</f>
        <v>0,5631</v>
      </c>
      <c r="F237" s="14" t="s">
        <v>1238</v>
      </c>
      <c r="G237" s="15" t="s">
        <v>383</v>
      </c>
      <c r="H237" s="15" t="s">
        <v>743</v>
      </c>
      <c r="I237" s="16" t="s">
        <v>384</v>
      </c>
      <c r="J237" s="17"/>
      <c r="K237" s="40" t="str">
        <f>"202,5"</f>
        <v>202,5</v>
      </c>
      <c r="L237" s="17" t="str">
        <f>"114,0277"</f>
        <v>114,0277</v>
      </c>
      <c r="M237" s="14" t="s">
        <v>3501</v>
      </c>
    </row>
    <row r="238" spans="1:13">
      <c r="A238" s="17" t="s">
        <v>15</v>
      </c>
      <c r="B238" s="14" t="s">
        <v>3490</v>
      </c>
      <c r="C238" s="14" t="s">
        <v>3502</v>
      </c>
      <c r="D238" s="14" t="s">
        <v>3492</v>
      </c>
      <c r="E238" s="14" t="str">
        <f>"0,5629"</f>
        <v>0,5629</v>
      </c>
      <c r="F238" s="14" t="s">
        <v>1279</v>
      </c>
      <c r="G238" s="15" t="s">
        <v>420</v>
      </c>
      <c r="H238" s="15" t="s">
        <v>421</v>
      </c>
      <c r="I238" s="15" t="s">
        <v>459</v>
      </c>
      <c r="J238" s="17"/>
      <c r="K238" s="40" t="str">
        <f>"235,0"</f>
        <v>235,0</v>
      </c>
      <c r="L238" s="17" t="str">
        <f>"142,5995"</f>
        <v>142,5995</v>
      </c>
      <c r="M238" s="14" t="s">
        <v>158</v>
      </c>
    </row>
    <row r="239" spans="1:13">
      <c r="A239" s="17" t="s">
        <v>62</v>
      </c>
      <c r="B239" s="14" t="s">
        <v>3503</v>
      </c>
      <c r="C239" s="14" t="s">
        <v>3504</v>
      </c>
      <c r="D239" s="14" t="s">
        <v>3505</v>
      </c>
      <c r="E239" s="14" t="str">
        <f>"0,5633"</f>
        <v>0,5633</v>
      </c>
      <c r="F239" s="14" t="s">
        <v>3421</v>
      </c>
      <c r="G239" s="15" t="s">
        <v>374</v>
      </c>
      <c r="H239" s="16" t="s">
        <v>384</v>
      </c>
      <c r="I239" s="15" t="s">
        <v>384</v>
      </c>
      <c r="J239" s="17"/>
      <c r="K239" s="40" t="str">
        <f>"210,0"</f>
        <v>210,0</v>
      </c>
      <c r="L239" s="17" t="str">
        <f>"129,6491"</f>
        <v>129,6491</v>
      </c>
      <c r="M239" s="14" t="s">
        <v>3422</v>
      </c>
    </row>
    <row r="240" spans="1:13">
      <c r="A240" s="20" t="s">
        <v>73</v>
      </c>
      <c r="B240" s="18" t="s">
        <v>3498</v>
      </c>
      <c r="C240" s="18" t="s">
        <v>3506</v>
      </c>
      <c r="D240" s="18" t="s">
        <v>3500</v>
      </c>
      <c r="E240" s="18" t="str">
        <f>"0,5631"</f>
        <v>0,5631</v>
      </c>
      <c r="F240" s="18" t="s">
        <v>1238</v>
      </c>
      <c r="G240" s="19" t="s">
        <v>383</v>
      </c>
      <c r="H240" s="19" t="s">
        <v>743</v>
      </c>
      <c r="I240" s="22" t="s">
        <v>384</v>
      </c>
      <c r="J240" s="20"/>
      <c r="K240" s="38" t="str">
        <f>"202,5"</f>
        <v>202,5</v>
      </c>
      <c r="L240" s="20" t="str">
        <f>"117,2205"</f>
        <v>117,2205</v>
      </c>
      <c r="M240" s="18" t="s">
        <v>3501</v>
      </c>
    </row>
    <row r="241" spans="1:13">
      <c r="B241" s="5" t="s">
        <v>40</v>
      </c>
    </row>
    <row r="242" spans="1:13" ht="15.95">
      <c r="A242" s="102" t="s">
        <v>818</v>
      </c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</row>
    <row r="243" spans="1:13">
      <c r="A243" s="13" t="s">
        <v>15</v>
      </c>
      <c r="B243" s="11" t="s">
        <v>3507</v>
      </c>
      <c r="C243" s="11" t="s">
        <v>3508</v>
      </c>
      <c r="D243" s="11" t="s">
        <v>3509</v>
      </c>
      <c r="E243" s="11" t="str">
        <f>"0,5551"</f>
        <v>0,5551</v>
      </c>
      <c r="F243" s="11" t="s">
        <v>1448</v>
      </c>
      <c r="G243" s="12" t="s">
        <v>459</v>
      </c>
      <c r="H243" s="12" t="s">
        <v>627</v>
      </c>
      <c r="I243" s="21" t="s">
        <v>1175</v>
      </c>
      <c r="J243" s="21"/>
      <c r="K243" s="37" t="str">
        <f>"245,0"</f>
        <v>245,0</v>
      </c>
      <c r="L243" s="13" t="str">
        <f>"135,9995"</f>
        <v>135,9995</v>
      </c>
      <c r="M243" s="11" t="s">
        <v>158</v>
      </c>
    </row>
    <row r="244" spans="1:13">
      <c r="A244" s="20" t="s">
        <v>92</v>
      </c>
      <c r="B244" s="18" t="s">
        <v>3510</v>
      </c>
      <c r="C244" s="18" t="s">
        <v>3511</v>
      </c>
      <c r="D244" s="18" t="s">
        <v>1328</v>
      </c>
      <c r="E244" s="18" t="str">
        <f>"0,5482"</f>
        <v>0,5482</v>
      </c>
      <c r="F244" s="18" t="s">
        <v>809</v>
      </c>
      <c r="G244" s="22" t="s">
        <v>374</v>
      </c>
      <c r="H244" s="22" t="s">
        <v>399</v>
      </c>
      <c r="I244" s="22" t="s">
        <v>455</v>
      </c>
      <c r="J244" s="20"/>
      <c r="K244" s="38">
        <v>0</v>
      </c>
      <c r="L244" s="20" t="str">
        <f>"0,0000"</f>
        <v>0,0000</v>
      </c>
      <c r="M244" s="18" t="s">
        <v>158</v>
      </c>
    </row>
    <row r="245" spans="1:13">
      <c r="B245" s="5" t="s">
        <v>40</v>
      </c>
    </row>
    <row r="246" spans="1:13" ht="18">
      <c r="B246" s="23" t="s">
        <v>830</v>
      </c>
      <c r="C246" s="23"/>
    </row>
    <row r="247" spans="1:13" ht="15.95">
      <c r="B247" s="95" t="s">
        <v>831</v>
      </c>
      <c r="C247" s="95"/>
    </row>
    <row r="248" spans="1:13" ht="14.1">
      <c r="B248" s="24"/>
      <c r="C248" s="24" t="s">
        <v>832</v>
      </c>
    </row>
    <row r="249" spans="1:13" ht="14.1">
      <c r="B249" s="4" t="s">
        <v>833</v>
      </c>
      <c r="C249" s="4" t="s">
        <v>834</v>
      </c>
      <c r="D249" s="4" t="s">
        <v>3512</v>
      </c>
      <c r="E249" s="4" t="s">
        <v>836</v>
      </c>
      <c r="F249" s="4" t="s">
        <v>837</v>
      </c>
    </row>
    <row r="250" spans="1:13">
      <c r="B250" s="5" t="s">
        <v>3045</v>
      </c>
      <c r="C250" s="5" t="s">
        <v>832</v>
      </c>
      <c r="D250" s="6" t="s">
        <v>844</v>
      </c>
      <c r="E250" s="6" t="s">
        <v>145</v>
      </c>
      <c r="F250" s="6" t="s">
        <v>3513</v>
      </c>
    </row>
    <row r="251" spans="1:13">
      <c r="B251" s="5" t="s">
        <v>3048</v>
      </c>
      <c r="C251" s="5" t="s">
        <v>832</v>
      </c>
      <c r="D251" s="6" t="s">
        <v>861</v>
      </c>
      <c r="E251" s="6" t="s">
        <v>71</v>
      </c>
      <c r="F251" s="6" t="s">
        <v>3514</v>
      </c>
    </row>
    <row r="252" spans="1:13">
      <c r="B252" s="5" t="s">
        <v>3056</v>
      </c>
      <c r="C252" s="5" t="s">
        <v>832</v>
      </c>
      <c r="D252" s="6" t="s">
        <v>858</v>
      </c>
      <c r="E252" s="6" t="s">
        <v>209</v>
      </c>
      <c r="F252" s="6" t="s">
        <v>3515</v>
      </c>
    </row>
    <row r="254" spans="1:13" ht="15.95">
      <c r="B254" s="95" t="s">
        <v>855</v>
      </c>
      <c r="C254" s="95"/>
    </row>
    <row r="255" spans="1:13" ht="14.1">
      <c r="B255" s="24"/>
      <c r="C255" s="24" t="s">
        <v>856</v>
      </c>
    </row>
    <row r="256" spans="1:13" ht="14.1">
      <c r="B256" s="4" t="s">
        <v>833</v>
      </c>
      <c r="C256" s="4" t="s">
        <v>834</v>
      </c>
      <c r="D256" s="4" t="s">
        <v>3512</v>
      </c>
      <c r="E256" s="4" t="s">
        <v>836</v>
      </c>
      <c r="F256" s="4" t="s">
        <v>837</v>
      </c>
    </row>
    <row r="257" spans="2:6">
      <c r="B257" s="5" t="s">
        <v>3173</v>
      </c>
      <c r="C257" s="5" t="s">
        <v>857</v>
      </c>
      <c r="D257" s="6" t="s">
        <v>858</v>
      </c>
      <c r="E257" s="6" t="s">
        <v>398</v>
      </c>
      <c r="F257" s="6" t="s">
        <v>3516</v>
      </c>
    </row>
    <row r="258" spans="2:6">
      <c r="B258" s="5" t="s">
        <v>3427</v>
      </c>
      <c r="C258" s="5" t="s">
        <v>857</v>
      </c>
      <c r="D258" s="6" t="s">
        <v>1356</v>
      </c>
      <c r="E258" s="6" t="s">
        <v>453</v>
      </c>
      <c r="F258" s="6" t="s">
        <v>3517</v>
      </c>
    </row>
    <row r="259" spans="2:6">
      <c r="B259" s="5" t="s">
        <v>3318</v>
      </c>
      <c r="C259" s="5" t="s">
        <v>857</v>
      </c>
      <c r="D259" s="6" t="s">
        <v>1349</v>
      </c>
      <c r="E259" s="6" t="s">
        <v>347</v>
      </c>
      <c r="F259" s="6" t="s">
        <v>3518</v>
      </c>
    </row>
    <row r="261" spans="2:6" ht="14.1">
      <c r="B261" s="24"/>
      <c r="C261" s="24" t="s">
        <v>866</v>
      </c>
    </row>
    <row r="262" spans="2:6" ht="14.1">
      <c r="B262" s="4" t="s">
        <v>833</v>
      </c>
      <c r="C262" s="4" t="s">
        <v>834</v>
      </c>
      <c r="D262" s="4" t="s">
        <v>3512</v>
      </c>
      <c r="E262" s="4" t="s">
        <v>836</v>
      </c>
      <c r="F262" s="4" t="s">
        <v>837</v>
      </c>
    </row>
    <row r="263" spans="2:6">
      <c r="B263" s="5" t="s">
        <v>3220</v>
      </c>
      <c r="C263" s="5" t="s">
        <v>866</v>
      </c>
      <c r="D263" s="6" t="s">
        <v>888</v>
      </c>
      <c r="E263" s="6" t="s">
        <v>506</v>
      </c>
      <c r="F263" s="6" t="s">
        <v>3519</v>
      </c>
    </row>
    <row r="264" spans="2:6">
      <c r="B264" s="5" t="s">
        <v>1753</v>
      </c>
      <c r="C264" s="5" t="s">
        <v>866</v>
      </c>
      <c r="D264" s="6" t="s">
        <v>888</v>
      </c>
      <c r="E264" s="6" t="s">
        <v>383</v>
      </c>
      <c r="F264" s="6" t="s">
        <v>3520</v>
      </c>
    </row>
    <row r="265" spans="2:6">
      <c r="B265" s="5" t="s">
        <v>3086</v>
      </c>
      <c r="C265" s="5" t="s">
        <v>866</v>
      </c>
      <c r="D265" s="6" t="s">
        <v>861</v>
      </c>
      <c r="E265" s="6" t="s">
        <v>152</v>
      </c>
      <c r="F265" s="6" t="s">
        <v>3521</v>
      </c>
    </row>
    <row r="267" spans="2:6" ht="14.1">
      <c r="B267" s="24"/>
      <c r="C267" s="24" t="s">
        <v>832</v>
      </c>
    </row>
    <row r="268" spans="2:6" ht="14.1">
      <c r="B268" s="4" t="s">
        <v>833</v>
      </c>
      <c r="C268" s="4" t="s">
        <v>834</v>
      </c>
      <c r="D268" s="4" t="s">
        <v>3512</v>
      </c>
      <c r="E268" s="4" t="s">
        <v>836</v>
      </c>
      <c r="F268" s="4" t="s">
        <v>837</v>
      </c>
    </row>
    <row r="269" spans="2:6">
      <c r="B269" s="5" t="s">
        <v>3089</v>
      </c>
      <c r="C269" s="5" t="s">
        <v>832</v>
      </c>
      <c r="D269" s="6" t="s">
        <v>861</v>
      </c>
      <c r="E269" s="6" t="s">
        <v>436</v>
      </c>
      <c r="F269" s="6" t="s">
        <v>3522</v>
      </c>
    </row>
    <row r="270" spans="2:6">
      <c r="B270" s="5" t="s">
        <v>3227</v>
      </c>
      <c r="C270" s="5" t="s">
        <v>832</v>
      </c>
      <c r="D270" s="6" t="s">
        <v>888</v>
      </c>
      <c r="E270" s="6" t="s">
        <v>627</v>
      </c>
      <c r="F270" s="6" t="s">
        <v>3523</v>
      </c>
    </row>
    <row r="271" spans="2:6">
      <c r="B271" s="5" t="s">
        <v>3231</v>
      </c>
      <c r="C271" s="5" t="s">
        <v>832</v>
      </c>
      <c r="D271" s="6" t="s">
        <v>888</v>
      </c>
      <c r="E271" s="6" t="s">
        <v>437</v>
      </c>
      <c r="F271" s="6" t="s">
        <v>3524</v>
      </c>
    </row>
    <row r="273" spans="2:6" ht="14.1">
      <c r="B273" s="24"/>
      <c r="C273" s="24" t="s">
        <v>847</v>
      </c>
    </row>
    <row r="274" spans="2:6" ht="14.1">
      <c r="B274" s="4" t="s">
        <v>833</v>
      </c>
      <c r="C274" s="4" t="s">
        <v>834</v>
      </c>
      <c r="D274" s="4" t="s">
        <v>3512</v>
      </c>
      <c r="E274" s="4" t="s">
        <v>836</v>
      </c>
      <c r="F274" s="4" t="s">
        <v>837</v>
      </c>
    </row>
    <row r="275" spans="2:6">
      <c r="B275" s="5" t="s">
        <v>667</v>
      </c>
      <c r="C275" s="5" t="s">
        <v>881</v>
      </c>
      <c r="D275" s="6" t="s">
        <v>858</v>
      </c>
      <c r="E275" s="6" t="s">
        <v>85</v>
      </c>
      <c r="F275" s="6" t="s">
        <v>3028</v>
      </c>
    </row>
    <row r="276" spans="2:6">
      <c r="B276" s="5" t="s">
        <v>3343</v>
      </c>
      <c r="C276" s="5" t="s">
        <v>884</v>
      </c>
      <c r="D276" s="6" t="s">
        <v>1349</v>
      </c>
      <c r="E276" s="6" t="s">
        <v>384</v>
      </c>
      <c r="F276" s="6" t="s">
        <v>3525</v>
      </c>
    </row>
    <row r="277" spans="2:6">
      <c r="B277" s="5" t="s">
        <v>3303</v>
      </c>
      <c r="C277" s="5" t="s">
        <v>884</v>
      </c>
      <c r="D277" s="6" t="s">
        <v>888</v>
      </c>
      <c r="E277" s="6" t="s">
        <v>374</v>
      </c>
      <c r="F277" s="6" t="s">
        <v>3526</v>
      </c>
    </row>
    <row r="278" spans="2:6">
      <c r="B278" s="5" t="s">
        <v>40</v>
      </c>
    </row>
    <row r="279" spans="2:6" ht="12.75"/>
  </sheetData>
  <mergeCells count="30">
    <mergeCell ref="A158:L158"/>
    <mergeCell ref="A205:L205"/>
    <mergeCell ref="A231:L231"/>
    <mergeCell ref="A242:L242"/>
    <mergeCell ref="B3:B4"/>
    <mergeCell ref="A37:L37"/>
    <mergeCell ref="A42:L42"/>
    <mergeCell ref="A49:L49"/>
    <mergeCell ref="A70:L70"/>
    <mergeCell ref="A90:L90"/>
    <mergeCell ref="A113:L113"/>
    <mergeCell ref="A14:L14"/>
    <mergeCell ref="A18:L18"/>
    <mergeCell ref="A22:L22"/>
    <mergeCell ref="A26:L26"/>
    <mergeCell ref="A30:L30"/>
    <mergeCell ref="A33:L33"/>
    <mergeCell ref="K3:K4"/>
    <mergeCell ref="L3:L4"/>
    <mergeCell ref="M3:M4"/>
    <mergeCell ref="A5:L5"/>
    <mergeCell ref="A8:L8"/>
    <mergeCell ref="A11:L11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35"/>
  <sheetViews>
    <sheetView workbookViewId="0">
      <selection sqref="A1:M2"/>
    </sheetView>
  </sheetViews>
  <sheetFormatPr defaultColWidth="9.140625" defaultRowHeight="12.95"/>
  <cols>
    <col min="1" max="1" width="7.42578125" style="6" bestFit="1" customWidth="1"/>
    <col min="2" max="2" width="18.42578125" style="5" bestFit="1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17.28515625" style="5" bestFit="1" customWidth="1"/>
    <col min="7" max="9" width="5.42578125" style="6" bestFit="1" customWidth="1"/>
    <col min="10" max="10" width="4.85546875" style="6" bestFit="1" customWidth="1"/>
    <col min="11" max="11" width="11.28515625" style="6" bestFit="1" customWidth="1"/>
    <col min="12" max="12" width="8.42578125" style="6" bestFit="1" customWidth="1"/>
    <col min="13" max="13" width="21.140625" style="5" customWidth="1"/>
    <col min="14" max="16384" width="9.140625" style="3"/>
  </cols>
  <sheetData>
    <row r="1" spans="1:13" s="2" customFormat="1" ht="29.1" customHeight="1">
      <c r="A1" s="103" t="s">
        <v>3527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5</v>
      </c>
      <c r="F3" s="114" t="s">
        <v>6</v>
      </c>
      <c r="G3" s="114" t="s">
        <v>8</v>
      </c>
      <c r="H3" s="114"/>
      <c r="I3" s="114"/>
      <c r="J3" s="114"/>
      <c r="K3" s="114" t="s">
        <v>2294</v>
      </c>
      <c r="L3" s="114" t="s">
        <v>11</v>
      </c>
      <c r="M3" s="99" t="s">
        <v>12</v>
      </c>
    </row>
    <row r="4" spans="1:13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113"/>
      <c r="L4" s="113"/>
      <c r="M4" s="100"/>
    </row>
    <row r="5" spans="1:13" ht="15.95">
      <c r="A5" s="101" t="s">
        <v>241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3">
      <c r="A6" s="10" t="s">
        <v>15</v>
      </c>
      <c r="B6" s="7" t="s">
        <v>2453</v>
      </c>
      <c r="C6" s="7" t="s">
        <v>2454</v>
      </c>
      <c r="D6" s="7" t="s">
        <v>373</v>
      </c>
      <c r="E6" s="7" t="str">
        <f>"0,7747"</f>
        <v>0,7747</v>
      </c>
      <c r="F6" s="7" t="s">
        <v>2455</v>
      </c>
      <c r="G6" s="8" t="s">
        <v>398</v>
      </c>
      <c r="H6" s="8" t="s">
        <v>453</v>
      </c>
      <c r="I6" s="9" t="s">
        <v>454</v>
      </c>
      <c r="J6" s="10"/>
      <c r="K6" s="10" t="str">
        <f>"187,5"</f>
        <v>187,5</v>
      </c>
      <c r="L6" s="10" t="str">
        <f>"145,2562"</f>
        <v>145,2562</v>
      </c>
      <c r="M6" s="7" t="s">
        <v>158</v>
      </c>
    </row>
    <row r="7" spans="1:13">
      <c r="B7" s="5" t="s">
        <v>40</v>
      </c>
    </row>
    <row r="8" spans="1:13" ht="15.95">
      <c r="A8" s="102" t="s">
        <v>301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3">
      <c r="A9" s="10" t="s">
        <v>15</v>
      </c>
      <c r="B9" s="7" t="s">
        <v>3528</v>
      </c>
      <c r="C9" s="7" t="s">
        <v>3529</v>
      </c>
      <c r="D9" s="7" t="s">
        <v>331</v>
      </c>
      <c r="E9" s="7" t="str">
        <f>"0,7126"</f>
        <v>0,7126</v>
      </c>
      <c r="F9" s="7" t="s">
        <v>2524</v>
      </c>
      <c r="G9" s="8" t="s">
        <v>204</v>
      </c>
      <c r="H9" s="8" t="s">
        <v>342</v>
      </c>
      <c r="I9" s="8" t="s">
        <v>254</v>
      </c>
      <c r="J9" s="10"/>
      <c r="K9" s="10" t="str">
        <f>"157,5"</f>
        <v>157,5</v>
      </c>
      <c r="L9" s="10" t="str">
        <f>"112,2345"</f>
        <v>112,2345</v>
      </c>
      <c r="M9" s="7" t="s">
        <v>2061</v>
      </c>
    </row>
    <row r="10" spans="1:13">
      <c r="B10" s="5" t="s">
        <v>40</v>
      </c>
    </row>
    <row r="11" spans="1:13" ht="15.95">
      <c r="A11" s="102" t="s">
        <v>334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3">
      <c r="A12" s="13" t="s">
        <v>15</v>
      </c>
      <c r="B12" s="11" t="s">
        <v>3530</v>
      </c>
      <c r="C12" s="11" t="s">
        <v>3531</v>
      </c>
      <c r="D12" s="11" t="s">
        <v>1458</v>
      </c>
      <c r="E12" s="11" t="str">
        <f>"0,6709"</f>
        <v>0,6709</v>
      </c>
      <c r="F12" s="11" t="s">
        <v>2071</v>
      </c>
      <c r="G12" s="12" t="s">
        <v>374</v>
      </c>
      <c r="H12" s="12" t="s">
        <v>399</v>
      </c>
      <c r="I12" s="21" t="s">
        <v>384</v>
      </c>
      <c r="J12" s="13"/>
      <c r="K12" s="13" t="str">
        <f>"205,0"</f>
        <v>205,0</v>
      </c>
      <c r="L12" s="13" t="str">
        <f>"137,5345"</f>
        <v>137,5345</v>
      </c>
      <c r="M12" s="11" t="s">
        <v>3532</v>
      </c>
    </row>
    <row r="13" spans="1:13">
      <c r="A13" s="17" t="s">
        <v>62</v>
      </c>
      <c r="B13" s="14" t="s">
        <v>3533</v>
      </c>
      <c r="C13" s="14" t="s">
        <v>3534</v>
      </c>
      <c r="D13" s="14" t="s">
        <v>1465</v>
      </c>
      <c r="E13" s="14" t="str">
        <f>"0,6939"</f>
        <v>0,6939</v>
      </c>
      <c r="F13" s="14" t="s">
        <v>3535</v>
      </c>
      <c r="G13" s="15" t="s">
        <v>398</v>
      </c>
      <c r="H13" s="16" t="s">
        <v>392</v>
      </c>
      <c r="I13" s="16" t="s">
        <v>392</v>
      </c>
      <c r="J13" s="17"/>
      <c r="K13" s="17" t="str">
        <f>"180,0"</f>
        <v>180,0</v>
      </c>
      <c r="L13" s="17" t="str">
        <f>"124,9020"</f>
        <v>124,9020</v>
      </c>
      <c r="M13" s="14" t="s">
        <v>158</v>
      </c>
    </row>
    <row r="14" spans="1:13">
      <c r="A14" s="17" t="s">
        <v>73</v>
      </c>
      <c r="B14" s="14" t="s">
        <v>2290</v>
      </c>
      <c r="C14" s="14" t="s">
        <v>2291</v>
      </c>
      <c r="D14" s="14" t="s">
        <v>536</v>
      </c>
      <c r="E14" s="14" t="str">
        <f>"0,6719"</f>
        <v>0,6719</v>
      </c>
      <c r="F14" s="14" t="s">
        <v>66</v>
      </c>
      <c r="G14" s="15" t="s">
        <v>248</v>
      </c>
      <c r="H14" s="15" t="s">
        <v>550</v>
      </c>
      <c r="I14" s="15" t="s">
        <v>351</v>
      </c>
      <c r="J14" s="17"/>
      <c r="K14" s="17" t="str">
        <f>"175,0"</f>
        <v>175,0</v>
      </c>
      <c r="L14" s="17" t="str">
        <f>"117,5825"</f>
        <v>117,5825</v>
      </c>
      <c r="M14" s="14" t="s">
        <v>158</v>
      </c>
    </row>
    <row r="15" spans="1:13">
      <c r="A15" s="20" t="s">
        <v>15</v>
      </c>
      <c r="B15" s="18" t="s">
        <v>2290</v>
      </c>
      <c r="C15" s="18" t="s">
        <v>2292</v>
      </c>
      <c r="D15" s="18" t="s">
        <v>536</v>
      </c>
      <c r="E15" s="18" t="str">
        <f>"0,6719"</f>
        <v>0,6719</v>
      </c>
      <c r="F15" s="18" t="s">
        <v>66</v>
      </c>
      <c r="G15" s="19" t="s">
        <v>248</v>
      </c>
      <c r="H15" s="19" t="s">
        <v>550</v>
      </c>
      <c r="I15" s="19" t="s">
        <v>351</v>
      </c>
      <c r="J15" s="20"/>
      <c r="K15" s="20" t="str">
        <f>"175,0"</f>
        <v>175,0</v>
      </c>
      <c r="L15" s="20" t="str">
        <f>"124,6374"</f>
        <v>124,6374</v>
      </c>
      <c r="M15" s="18" t="s">
        <v>158</v>
      </c>
    </row>
    <row r="16" spans="1:13">
      <c r="B16" s="5" t="s">
        <v>40</v>
      </c>
    </row>
    <row r="17" spans="1:13" ht="15.95">
      <c r="A17" s="102" t="s">
        <v>670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1:13">
      <c r="A18" s="10" t="s">
        <v>15</v>
      </c>
      <c r="B18" s="7" t="s">
        <v>3536</v>
      </c>
      <c r="C18" s="7" t="s">
        <v>3537</v>
      </c>
      <c r="D18" s="7" t="s">
        <v>677</v>
      </c>
      <c r="E18" s="7" t="str">
        <f>"0,6098"</f>
        <v>0,6098</v>
      </c>
      <c r="F18" s="7" t="s">
        <v>91</v>
      </c>
      <c r="G18" s="8" t="s">
        <v>491</v>
      </c>
      <c r="H18" s="8" t="s">
        <v>1717</v>
      </c>
      <c r="I18" s="8" t="s">
        <v>1422</v>
      </c>
      <c r="J18" s="10"/>
      <c r="K18" s="10" t="str">
        <f>"291,0"</f>
        <v>291,0</v>
      </c>
      <c r="L18" s="10" t="str">
        <f>"177,4518"</f>
        <v>177,4518</v>
      </c>
      <c r="M18" s="7" t="s">
        <v>3538</v>
      </c>
    </row>
    <row r="19" spans="1:13">
      <c r="B19" s="5" t="s">
        <v>40</v>
      </c>
    </row>
    <row r="20" spans="1:13" ht="15.95">
      <c r="A20" s="102" t="s">
        <v>724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1:13">
      <c r="A21" s="13" t="s">
        <v>15</v>
      </c>
      <c r="B21" s="11" t="s">
        <v>3539</v>
      </c>
      <c r="C21" s="11" t="s">
        <v>3540</v>
      </c>
      <c r="D21" s="11" t="s">
        <v>2048</v>
      </c>
      <c r="E21" s="11" t="str">
        <f>"0,5924"</f>
        <v>0,5924</v>
      </c>
      <c r="F21" s="11" t="s">
        <v>1300</v>
      </c>
      <c r="G21" s="12" t="s">
        <v>420</v>
      </c>
      <c r="H21" s="21" t="s">
        <v>508</v>
      </c>
      <c r="I21" s="21" t="s">
        <v>508</v>
      </c>
      <c r="J21" s="13"/>
      <c r="K21" s="13" t="str">
        <f>"220,0"</f>
        <v>220,0</v>
      </c>
      <c r="L21" s="13" t="str">
        <f>"130,3280"</f>
        <v>130,3280</v>
      </c>
      <c r="M21" s="11" t="s">
        <v>158</v>
      </c>
    </row>
    <row r="22" spans="1:13">
      <c r="A22" s="20" t="s">
        <v>15</v>
      </c>
      <c r="B22" s="18" t="s">
        <v>2924</v>
      </c>
      <c r="C22" s="18" t="s">
        <v>2925</v>
      </c>
      <c r="D22" s="18" t="s">
        <v>2926</v>
      </c>
      <c r="E22" s="18" t="str">
        <f>"0,5952"</f>
        <v>0,5952</v>
      </c>
      <c r="F22" s="18" t="s">
        <v>1378</v>
      </c>
      <c r="G22" s="22" t="s">
        <v>383</v>
      </c>
      <c r="H22" s="19" t="s">
        <v>383</v>
      </c>
      <c r="I22" s="22" t="s">
        <v>374</v>
      </c>
      <c r="J22" s="20"/>
      <c r="K22" s="20" t="str">
        <f>"195,0"</f>
        <v>195,0</v>
      </c>
      <c r="L22" s="20" t="str">
        <f>"163,6502"</f>
        <v>163,6502</v>
      </c>
      <c r="M22" s="18" t="s">
        <v>158</v>
      </c>
    </row>
    <row r="23" spans="1:13">
      <c r="B23" s="5" t="s">
        <v>40</v>
      </c>
    </row>
    <row r="24" spans="1:13" ht="15.95">
      <c r="A24" s="102" t="s">
        <v>794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1:13">
      <c r="A25" s="10" t="s">
        <v>15</v>
      </c>
      <c r="B25" s="7" t="s">
        <v>3541</v>
      </c>
      <c r="C25" s="7" t="s">
        <v>3542</v>
      </c>
      <c r="D25" s="7" t="s">
        <v>3543</v>
      </c>
      <c r="E25" s="7" t="str">
        <f>"0,5681"</f>
        <v>0,5681</v>
      </c>
      <c r="F25" s="7" t="s">
        <v>3544</v>
      </c>
      <c r="G25" s="8" t="s">
        <v>374</v>
      </c>
      <c r="H25" s="9" t="s">
        <v>420</v>
      </c>
      <c r="I25" s="8" t="s">
        <v>420</v>
      </c>
      <c r="J25" s="10"/>
      <c r="K25" s="10" t="str">
        <f>"220,0"</f>
        <v>220,0</v>
      </c>
      <c r="L25" s="10" t="str">
        <f>"124,9820"</f>
        <v>124,9820</v>
      </c>
      <c r="M25" s="7" t="s">
        <v>158</v>
      </c>
    </row>
    <row r="26" spans="1:13">
      <c r="B26" s="5" t="s">
        <v>40</v>
      </c>
    </row>
    <row r="29" spans="1:13" ht="18">
      <c r="B29" s="23" t="s">
        <v>830</v>
      </c>
      <c r="C29" s="23"/>
    </row>
    <row r="30" spans="1:13" ht="15.95">
      <c r="B30" s="95" t="s">
        <v>855</v>
      </c>
      <c r="C30" s="95"/>
    </row>
    <row r="31" spans="1:13" ht="14.1">
      <c r="B31" s="24"/>
      <c r="C31" s="24" t="s">
        <v>832</v>
      </c>
    </row>
    <row r="32" spans="1:13" ht="14.1">
      <c r="B32" s="4" t="s">
        <v>833</v>
      </c>
      <c r="C32" s="4" t="s">
        <v>834</v>
      </c>
      <c r="D32" s="4" t="s">
        <v>3512</v>
      </c>
      <c r="E32" s="4" t="s">
        <v>836</v>
      </c>
      <c r="F32" s="4" t="s">
        <v>837</v>
      </c>
    </row>
    <row r="33" spans="2:6">
      <c r="B33" s="5" t="s">
        <v>3536</v>
      </c>
      <c r="C33" s="5" t="s">
        <v>832</v>
      </c>
      <c r="D33" s="6" t="s">
        <v>888</v>
      </c>
      <c r="E33" s="6" t="s">
        <v>1422</v>
      </c>
      <c r="F33" s="6" t="s">
        <v>3545</v>
      </c>
    </row>
    <row r="34" spans="2:6">
      <c r="B34" s="5" t="s">
        <v>2453</v>
      </c>
      <c r="C34" s="5" t="s">
        <v>832</v>
      </c>
      <c r="D34" s="6" t="s">
        <v>844</v>
      </c>
      <c r="E34" s="6" t="s">
        <v>453</v>
      </c>
      <c r="F34" s="6" t="s">
        <v>3546</v>
      </c>
    </row>
    <row r="35" spans="2:6">
      <c r="B35" s="5" t="s">
        <v>3530</v>
      </c>
      <c r="C35" s="5" t="s">
        <v>832</v>
      </c>
      <c r="D35" s="6" t="s">
        <v>868</v>
      </c>
      <c r="E35" s="6" t="s">
        <v>399</v>
      </c>
      <c r="F35" s="6" t="s">
        <v>3547</v>
      </c>
    </row>
  </sheetData>
  <mergeCells count="17">
    <mergeCell ref="A17:L17"/>
    <mergeCell ref="A20:L20"/>
    <mergeCell ref="A24:L24"/>
    <mergeCell ref="B3:B4"/>
    <mergeCell ref="K3:K4"/>
    <mergeCell ref="L3:L4"/>
    <mergeCell ref="M3:M4"/>
    <mergeCell ref="A5:L5"/>
    <mergeCell ref="A8:L8"/>
    <mergeCell ref="A11:L11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37"/>
  <sheetViews>
    <sheetView workbookViewId="0">
      <selection sqref="A1:M2"/>
    </sheetView>
  </sheetViews>
  <sheetFormatPr defaultColWidth="9.140625" defaultRowHeight="12.95"/>
  <cols>
    <col min="1" max="1" width="7.42578125" style="6" bestFit="1" customWidth="1"/>
    <col min="2" max="2" width="19.42578125" style="5" bestFit="1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19.7109375" style="5" bestFit="1" customWidth="1"/>
    <col min="7" max="9" width="5.42578125" style="6" bestFit="1" customWidth="1"/>
    <col min="10" max="10" width="4.85546875" style="6" bestFit="1" customWidth="1"/>
    <col min="11" max="11" width="11.28515625" style="39" bestFit="1" customWidth="1"/>
    <col min="12" max="12" width="8.42578125" style="6" bestFit="1" customWidth="1"/>
    <col min="13" max="13" width="19.42578125" style="5" customWidth="1"/>
    <col min="14" max="16384" width="9.140625" style="3"/>
  </cols>
  <sheetData>
    <row r="1" spans="1:13" s="2" customFormat="1" ht="29.1" customHeight="1">
      <c r="A1" s="103" t="s">
        <v>3548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5</v>
      </c>
      <c r="F3" s="114" t="s">
        <v>6</v>
      </c>
      <c r="G3" s="114" t="s">
        <v>8</v>
      </c>
      <c r="H3" s="114"/>
      <c r="I3" s="114"/>
      <c r="J3" s="114"/>
      <c r="K3" s="117" t="s">
        <v>2294</v>
      </c>
      <c r="L3" s="114" t="s">
        <v>11</v>
      </c>
      <c r="M3" s="99" t="s">
        <v>12</v>
      </c>
    </row>
    <row r="4" spans="1:13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118"/>
      <c r="L4" s="113"/>
      <c r="M4" s="100"/>
    </row>
    <row r="5" spans="1:13" ht="15.95">
      <c r="A5" s="101" t="s">
        <v>334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3">
      <c r="A6" s="13" t="s">
        <v>15</v>
      </c>
      <c r="B6" s="11" t="s">
        <v>3549</v>
      </c>
      <c r="C6" s="11" t="s">
        <v>3550</v>
      </c>
      <c r="D6" s="11" t="s">
        <v>3551</v>
      </c>
      <c r="E6" s="11" t="str">
        <f>"0,6871"</f>
        <v>0,6871</v>
      </c>
      <c r="F6" s="11" t="s">
        <v>980</v>
      </c>
      <c r="G6" s="12" t="s">
        <v>392</v>
      </c>
      <c r="H6" s="12" t="s">
        <v>507</v>
      </c>
      <c r="I6" s="12" t="s">
        <v>421</v>
      </c>
      <c r="J6" s="13"/>
      <c r="K6" s="37" t="str">
        <f>"230,0"</f>
        <v>230,0</v>
      </c>
      <c r="L6" s="13" t="str">
        <f>"158,0330"</f>
        <v>158,0330</v>
      </c>
      <c r="M6" s="11" t="s">
        <v>981</v>
      </c>
    </row>
    <row r="7" spans="1:13">
      <c r="A7" s="20" t="s">
        <v>62</v>
      </c>
      <c r="B7" s="18" t="s">
        <v>3552</v>
      </c>
      <c r="C7" s="18" t="s">
        <v>3553</v>
      </c>
      <c r="D7" s="18" t="s">
        <v>587</v>
      </c>
      <c r="E7" s="18" t="str">
        <f>"0,6774"</f>
        <v>0,6774</v>
      </c>
      <c r="F7" s="18" t="s">
        <v>166</v>
      </c>
      <c r="G7" s="22" t="s">
        <v>507</v>
      </c>
      <c r="H7" s="22" t="s">
        <v>507</v>
      </c>
      <c r="I7" s="19" t="s">
        <v>421</v>
      </c>
      <c r="J7" s="20"/>
      <c r="K7" s="38" t="str">
        <f>"230,0"</f>
        <v>230,0</v>
      </c>
      <c r="L7" s="20" t="str">
        <f>"155,8020"</f>
        <v>155,8020</v>
      </c>
      <c r="M7" s="18" t="s">
        <v>158</v>
      </c>
    </row>
    <row r="8" spans="1:13">
      <c r="B8" s="5" t="s">
        <v>40</v>
      </c>
    </row>
    <row r="9" spans="1:13" ht="15.95">
      <c r="A9" s="102" t="s">
        <v>670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3">
      <c r="A10" s="13" t="s">
        <v>15</v>
      </c>
      <c r="B10" s="11" t="s">
        <v>3246</v>
      </c>
      <c r="C10" s="11" t="s">
        <v>3247</v>
      </c>
      <c r="D10" s="11" t="s">
        <v>1193</v>
      </c>
      <c r="E10" s="11" t="str">
        <f>"0,6131"</f>
        <v>0,6131</v>
      </c>
      <c r="F10" s="11" t="s">
        <v>3248</v>
      </c>
      <c r="G10" s="21" t="s">
        <v>523</v>
      </c>
      <c r="H10" s="12" t="s">
        <v>523</v>
      </c>
      <c r="I10" s="21" t="s">
        <v>754</v>
      </c>
      <c r="J10" s="13"/>
      <c r="K10" s="37" t="str">
        <f>"260,0"</f>
        <v>260,0</v>
      </c>
      <c r="L10" s="13" t="str">
        <f>"159,4060"</f>
        <v>159,4060</v>
      </c>
      <c r="M10" s="11" t="s">
        <v>158</v>
      </c>
    </row>
    <row r="11" spans="1:13">
      <c r="A11" s="20" t="s">
        <v>15</v>
      </c>
      <c r="B11" s="18" t="s">
        <v>3246</v>
      </c>
      <c r="C11" s="18" t="s">
        <v>3202</v>
      </c>
      <c r="D11" s="18" t="s">
        <v>1193</v>
      </c>
      <c r="E11" s="18" t="str">
        <f>"0,6131"</f>
        <v>0,6131</v>
      </c>
      <c r="F11" s="18" t="s">
        <v>3248</v>
      </c>
      <c r="G11" s="22" t="s">
        <v>523</v>
      </c>
      <c r="H11" s="19" t="s">
        <v>523</v>
      </c>
      <c r="I11" s="22" t="s">
        <v>754</v>
      </c>
      <c r="J11" s="20"/>
      <c r="K11" s="38" t="str">
        <f>"260,0"</f>
        <v>260,0</v>
      </c>
      <c r="L11" s="20" t="str">
        <f>"168,9704"</f>
        <v>168,9704</v>
      </c>
      <c r="M11" s="18" t="s">
        <v>158</v>
      </c>
    </row>
    <row r="12" spans="1:13">
      <c r="B12" s="5" t="s">
        <v>40</v>
      </c>
    </row>
    <row r="13" spans="1:13" ht="15.95">
      <c r="A13" s="102" t="s">
        <v>724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1:13">
      <c r="A14" s="13" t="s">
        <v>15</v>
      </c>
      <c r="B14" s="11" t="s">
        <v>3554</v>
      </c>
      <c r="C14" s="11" t="s">
        <v>3555</v>
      </c>
      <c r="D14" s="11" t="s">
        <v>772</v>
      </c>
      <c r="E14" s="11" t="str">
        <f>"0,6074"</f>
        <v>0,6074</v>
      </c>
      <c r="F14" s="11" t="s">
        <v>3556</v>
      </c>
      <c r="G14" s="12" t="s">
        <v>422</v>
      </c>
      <c r="H14" s="21" t="s">
        <v>490</v>
      </c>
      <c r="I14" s="13"/>
      <c r="J14" s="13"/>
      <c r="K14" s="37" t="str">
        <f>"240,0"</f>
        <v>240,0</v>
      </c>
      <c r="L14" s="13" t="str">
        <f>"145,7760"</f>
        <v>145,7760</v>
      </c>
      <c r="M14" s="11" t="s">
        <v>3557</v>
      </c>
    </row>
    <row r="15" spans="1:13">
      <c r="A15" s="17" t="s">
        <v>62</v>
      </c>
      <c r="B15" s="14" t="s">
        <v>2046</v>
      </c>
      <c r="C15" s="14" t="s">
        <v>2047</v>
      </c>
      <c r="D15" s="14" t="s">
        <v>2048</v>
      </c>
      <c r="E15" s="14" t="str">
        <f>"0,5924"</f>
        <v>0,5924</v>
      </c>
      <c r="F15" s="14" t="s">
        <v>2049</v>
      </c>
      <c r="G15" s="15" t="s">
        <v>459</v>
      </c>
      <c r="H15" s="16" t="s">
        <v>437</v>
      </c>
      <c r="I15" s="16" t="s">
        <v>627</v>
      </c>
      <c r="J15" s="17"/>
      <c r="K15" s="40" t="str">
        <f>"235,0"</f>
        <v>235,0</v>
      </c>
      <c r="L15" s="17" t="str">
        <f>"139,2140"</f>
        <v>139,2140</v>
      </c>
      <c r="M15" s="14" t="s">
        <v>2051</v>
      </c>
    </row>
    <row r="16" spans="1:13">
      <c r="A16" s="20" t="s">
        <v>73</v>
      </c>
      <c r="B16" s="18" t="s">
        <v>2052</v>
      </c>
      <c r="C16" s="18" t="s">
        <v>2053</v>
      </c>
      <c r="D16" s="18" t="s">
        <v>2054</v>
      </c>
      <c r="E16" s="18" t="str">
        <f>"0,6076"</f>
        <v>0,6076</v>
      </c>
      <c r="F16" s="18" t="s">
        <v>2055</v>
      </c>
      <c r="G16" s="19" t="s">
        <v>69</v>
      </c>
      <c r="H16" s="19" t="s">
        <v>70</v>
      </c>
      <c r="I16" s="22" t="s">
        <v>71</v>
      </c>
      <c r="J16" s="20"/>
      <c r="K16" s="38" t="str">
        <f>"120,0"</f>
        <v>120,0</v>
      </c>
      <c r="L16" s="20" t="str">
        <f>"72,9120"</f>
        <v>72,9120</v>
      </c>
      <c r="M16" s="18" t="s">
        <v>3558</v>
      </c>
    </row>
    <row r="17" spans="1:13">
      <c r="B17" s="5" t="s">
        <v>40</v>
      </c>
    </row>
    <row r="18" spans="1:13" ht="15.95">
      <c r="A18" s="102" t="s">
        <v>783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1:13">
      <c r="A19" s="13" t="s">
        <v>15</v>
      </c>
      <c r="B19" s="11" t="s">
        <v>3559</v>
      </c>
      <c r="C19" s="11" t="s">
        <v>3560</v>
      </c>
      <c r="D19" s="11" t="s">
        <v>3456</v>
      </c>
      <c r="E19" s="11" t="str">
        <f>"0,5717"</f>
        <v>0,5717</v>
      </c>
      <c r="F19" s="11" t="s">
        <v>980</v>
      </c>
      <c r="G19" s="12" t="s">
        <v>640</v>
      </c>
      <c r="H19" s="12" t="s">
        <v>803</v>
      </c>
      <c r="I19" s="21" t="s">
        <v>822</v>
      </c>
      <c r="J19" s="13"/>
      <c r="K19" s="37" t="str">
        <f>"282,5"</f>
        <v>282,5</v>
      </c>
      <c r="L19" s="13" t="str">
        <f>"161,5052"</f>
        <v>161,5052</v>
      </c>
      <c r="M19" s="11" t="s">
        <v>981</v>
      </c>
    </row>
    <row r="20" spans="1:13">
      <c r="A20" s="17" t="s">
        <v>92</v>
      </c>
      <c r="B20" s="14" t="s">
        <v>3561</v>
      </c>
      <c r="C20" s="14" t="s">
        <v>3562</v>
      </c>
      <c r="D20" s="14" t="s">
        <v>3563</v>
      </c>
      <c r="E20" s="14" t="str">
        <f>"0,5780"</f>
        <v>0,5780</v>
      </c>
      <c r="F20" s="14" t="s">
        <v>3564</v>
      </c>
      <c r="G20" s="16" t="s">
        <v>523</v>
      </c>
      <c r="H20" s="16" t="s">
        <v>523</v>
      </c>
      <c r="I20" s="16" t="s">
        <v>523</v>
      </c>
      <c r="J20" s="17"/>
      <c r="K20" s="40">
        <v>0</v>
      </c>
      <c r="L20" s="17" t="str">
        <f>"0,0000"</f>
        <v>0,0000</v>
      </c>
      <c r="M20" s="14" t="s">
        <v>158</v>
      </c>
    </row>
    <row r="21" spans="1:13">
      <c r="A21" s="20" t="s">
        <v>92</v>
      </c>
      <c r="B21" s="18" t="s">
        <v>3561</v>
      </c>
      <c r="C21" s="18" t="s">
        <v>3565</v>
      </c>
      <c r="D21" s="18" t="s">
        <v>3563</v>
      </c>
      <c r="E21" s="18" t="str">
        <f>"0,5780"</f>
        <v>0,5780</v>
      </c>
      <c r="F21" s="18" t="s">
        <v>3564</v>
      </c>
      <c r="G21" s="22" t="s">
        <v>523</v>
      </c>
      <c r="H21" s="22" t="s">
        <v>523</v>
      </c>
      <c r="I21" s="22" t="s">
        <v>523</v>
      </c>
      <c r="J21" s="20"/>
      <c r="K21" s="38">
        <v>0</v>
      </c>
      <c r="L21" s="20" t="str">
        <f>"0,0000"</f>
        <v>0,0000</v>
      </c>
      <c r="M21" s="18" t="s">
        <v>158</v>
      </c>
    </row>
    <row r="22" spans="1:13">
      <c r="B22" s="5" t="s">
        <v>40</v>
      </c>
    </row>
    <row r="23" spans="1:13" ht="15.95">
      <c r="A23" s="102" t="s">
        <v>794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1:13">
      <c r="A24" s="10" t="s">
        <v>15</v>
      </c>
      <c r="B24" s="7" t="s">
        <v>3493</v>
      </c>
      <c r="C24" s="7" t="s">
        <v>3494</v>
      </c>
      <c r="D24" s="7" t="s">
        <v>3495</v>
      </c>
      <c r="E24" s="7" t="str">
        <f>"0,5658"</f>
        <v>0,5658</v>
      </c>
      <c r="F24" s="7" t="s">
        <v>980</v>
      </c>
      <c r="G24" s="8" t="s">
        <v>442</v>
      </c>
      <c r="H24" s="8" t="s">
        <v>459</v>
      </c>
      <c r="I24" s="8" t="s">
        <v>627</v>
      </c>
      <c r="J24" s="10"/>
      <c r="K24" s="41" t="str">
        <f>"245,0"</f>
        <v>245,0</v>
      </c>
      <c r="L24" s="10" t="str">
        <f>"138,6210"</f>
        <v>138,6210</v>
      </c>
      <c r="M24" s="7" t="s">
        <v>981</v>
      </c>
    </row>
    <row r="25" spans="1:13">
      <c r="B25" s="5" t="s">
        <v>40</v>
      </c>
    </row>
    <row r="26" spans="1:13" ht="15.95">
      <c r="A26" s="102" t="s">
        <v>818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1:13">
      <c r="A27" s="10" t="s">
        <v>92</v>
      </c>
      <c r="B27" s="7" t="s">
        <v>3566</v>
      </c>
      <c r="C27" s="7" t="s">
        <v>3567</v>
      </c>
      <c r="D27" s="7" t="s">
        <v>3568</v>
      </c>
      <c r="E27" s="7" t="str">
        <f>"0,5502"</f>
        <v>0,5502</v>
      </c>
      <c r="F27" s="7" t="s">
        <v>1694</v>
      </c>
      <c r="G27" s="9" t="s">
        <v>1142</v>
      </c>
      <c r="H27" s="9" t="s">
        <v>1339</v>
      </c>
      <c r="I27" s="9" t="s">
        <v>1339</v>
      </c>
      <c r="J27" s="10"/>
      <c r="K27" s="41">
        <v>0</v>
      </c>
      <c r="L27" s="10" t="str">
        <f>"0,0000"</f>
        <v>0,0000</v>
      </c>
      <c r="M27" s="7" t="s">
        <v>158</v>
      </c>
    </row>
    <row r="28" spans="1:13">
      <c r="B28" s="5" t="s">
        <v>40</v>
      </c>
    </row>
    <row r="31" spans="1:13" ht="18">
      <c r="B31" s="23" t="s">
        <v>830</v>
      </c>
      <c r="C31" s="23"/>
    </row>
    <row r="32" spans="1:13" ht="15.95">
      <c r="B32" s="95" t="s">
        <v>855</v>
      </c>
      <c r="C32" s="95"/>
    </row>
    <row r="33" spans="2:6" ht="14.1">
      <c r="B33" s="24"/>
      <c r="C33" s="24" t="s">
        <v>832</v>
      </c>
    </row>
    <row r="34" spans="2:6" ht="14.1">
      <c r="B34" s="4" t="s">
        <v>833</v>
      </c>
      <c r="C34" s="4" t="s">
        <v>834</v>
      </c>
      <c r="D34" s="4" t="s">
        <v>3512</v>
      </c>
      <c r="E34" s="4" t="s">
        <v>836</v>
      </c>
      <c r="F34" s="4" t="s">
        <v>837</v>
      </c>
    </row>
    <row r="35" spans="2:6">
      <c r="B35" s="5" t="s">
        <v>3559</v>
      </c>
      <c r="C35" s="5" t="s">
        <v>832</v>
      </c>
      <c r="D35" s="6" t="s">
        <v>1356</v>
      </c>
      <c r="E35" s="6" t="s">
        <v>803</v>
      </c>
      <c r="F35" s="6" t="s">
        <v>3569</v>
      </c>
    </row>
    <row r="36" spans="2:6">
      <c r="B36" s="5" t="s">
        <v>3246</v>
      </c>
      <c r="C36" s="5" t="s">
        <v>832</v>
      </c>
      <c r="D36" s="6" t="s">
        <v>888</v>
      </c>
      <c r="E36" s="6" t="s">
        <v>523</v>
      </c>
      <c r="F36" s="6" t="s">
        <v>3570</v>
      </c>
    </row>
    <row r="37" spans="2:6">
      <c r="B37" s="5" t="s">
        <v>3549</v>
      </c>
      <c r="C37" s="5" t="s">
        <v>832</v>
      </c>
      <c r="D37" s="6" t="s">
        <v>868</v>
      </c>
      <c r="E37" s="6" t="s">
        <v>421</v>
      </c>
      <c r="F37" s="6" t="s">
        <v>3571</v>
      </c>
    </row>
  </sheetData>
  <mergeCells count="17">
    <mergeCell ref="A18:L18"/>
    <mergeCell ref="A23:L23"/>
    <mergeCell ref="A26:L26"/>
    <mergeCell ref="B3:B4"/>
    <mergeCell ref="K3:K4"/>
    <mergeCell ref="L3:L4"/>
    <mergeCell ref="M3:M4"/>
    <mergeCell ref="A5:L5"/>
    <mergeCell ref="A9:L9"/>
    <mergeCell ref="A13:L13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9"/>
  <sheetViews>
    <sheetView workbookViewId="0">
      <selection sqref="A1:M2"/>
    </sheetView>
  </sheetViews>
  <sheetFormatPr defaultColWidth="9.140625" defaultRowHeight="12.95"/>
  <cols>
    <col min="1" max="1" width="7.42578125" style="6" bestFit="1" customWidth="1"/>
    <col min="2" max="2" width="16.85546875" style="5" bestFit="1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15.42578125" style="5" bestFit="1" customWidth="1"/>
    <col min="7" max="9" width="5.42578125" style="6" bestFit="1" customWidth="1"/>
    <col min="10" max="10" width="4.85546875" style="6" bestFit="1" customWidth="1"/>
    <col min="11" max="11" width="11.28515625" style="6" bestFit="1" customWidth="1"/>
    <col min="12" max="12" width="8.42578125" style="6" bestFit="1" customWidth="1"/>
    <col min="13" max="13" width="19.85546875" style="5" customWidth="1"/>
    <col min="14" max="16384" width="9.140625" style="3"/>
  </cols>
  <sheetData>
    <row r="1" spans="1:13" s="2" customFormat="1" ht="29.1" customHeight="1">
      <c r="A1" s="103" t="s">
        <v>3572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5</v>
      </c>
      <c r="F3" s="114" t="s">
        <v>6</v>
      </c>
      <c r="G3" s="114" t="s">
        <v>8</v>
      </c>
      <c r="H3" s="114"/>
      <c r="I3" s="114"/>
      <c r="J3" s="114"/>
      <c r="K3" s="114" t="s">
        <v>2294</v>
      </c>
      <c r="L3" s="114" t="s">
        <v>11</v>
      </c>
      <c r="M3" s="99" t="s">
        <v>12</v>
      </c>
    </row>
    <row r="4" spans="1:13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113"/>
      <c r="L4" s="113"/>
      <c r="M4" s="100"/>
    </row>
    <row r="5" spans="1:13" ht="15.95">
      <c r="A5" s="101" t="s">
        <v>670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3">
      <c r="A6" s="13" t="s">
        <v>15</v>
      </c>
      <c r="B6" s="11" t="s">
        <v>2831</v>
      </c>
      <c r="C6" s="11" t="s">
        <v>3573</v>
      </c>
      <c r="D6" s="11" t="s">
        <v>1197</v>
      </c>
      <c r="E6" s="11" t="str">
        <f>"0,6139"</f>
        <v>0,6139</v>
      </c>
      <c r="F6" s="11" t="s">
        <v>2128</v>
      </c>
      <c r="G6" s="12" t="s">
        <v>351</v>
      </c>
      <c r="H6" s="21" t="s">
        <v>398</v>
      </c>
      <c r="I6" s="21" t="s">
        <v>398</v>
      </c>
      <c r="J6" s="13"/>
      <c r="K6" s="13" t="str">
        <f>"175,0"</f>
        <v>175,0</v>
      </c>
      <c r="L6" s="13" t="str">
        <f>"107,4325"</f>
        <v>107,4325</v>
      </c>
      <c r="M6" s="11" t="s">
        <v>158</v>
      </c>
    </row>
    <row r="7" spans="1:13">
      <c r="A7" s="20" t="s">
        <v>15</v>
      </c>
      <c r="B7" s="18" t="s">
        <v>2831</v>
      </c>
      <c r="C7" s="18" t="s">
        <v>2832</v>
      </c>
      <c r="D7" s="18" t="s">
        <v>1197</v>
      </c>
      <c r="E7" s="18" t="str">
        <f>"0,6139"</f>
        <v>0,6139</v>
      </c>
      <c r="F7" s="18" t="s">
        <v>2128</v>
      </c>
      <c r="G7" s="19" t="s">
        <v>351</v>
      </c>
      <c r="H7" s="22" t="s">
        <v>398</v>
      </c>
      <c r="I7" s="22" t="s">
        <v>398</v>
      </c>
      <c r="J7" s="20"/>
      <c r="K7" s="20" t="str">
        <f>"175,0"</f>
        <v>175,0</v>
      </c>
      <c r="L7" s="20" t="str">
        <f>"151,4798"</f>
        <v>151,4798</v>
      </c>
      <c r="M7" s="18" t="s">
        <v>158</v>
      </c>
    </row>
    <row r="8" spans="1:13">
      <c r="B8" s="5" t="s">
        <v>40</v>
      </c>
    </row>
    <row r="9" spans="1:13">
      <c r="B9" s="5" t="s">
        <v>40</v>
      </c>
    </row>
  </sheetData>
  <mergeCells count="12">
    <mergeCell ref="A5:L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24"/>
  <sheetViews>
    <sheetView workbookViewId="0">
      <selection activeCell="A21" sqref="A21:XFD23"/>
    </sheetView>
  </sheetViews>
  <sheetFormatPr defaultColWidth="9.140625" defaultRowHeight="12.95"/>
  <cols>
    <col min="1" max="1" width="7.42578125" style="6" bestFit="1" customWidth="1"/>
    <col min="2" max="2" width="17.42578125" style="5" bestFit="1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15.42578125" style="5" bestFit="1" customWidth="1"/>
    <col min="7" max="9" width="5.42578125" style="6" bestFit="1" customWidth="1"/>
    <col min="10" max="10" width="4.85546875" style="6" bestFit="1" customWidth="1"/>
    <col min="11" max="11" width="11.28515625" style="39" bestFit="1" customWidth="1"/>
    <col min="12" max="12" width="8.42578125" style="6" bestFit="1" customWidth="1"/>
    <col min="13" max="13" width="21.140625" style="5" customWidth="1"/>
    <col min="14" max="16384" width="9.140625" style="3"/>
  </cols>
  <sheetData>
    <row r="1" spans="1:13" s="2" customFormat="1" ht="29.1" customHeight="1">
      <c r="A1" s="103" t="s">
        <v>3574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5</v>
      </c>
      <c r="F3" s="114" t="s">
        <v>6</v>
      </c>
      <c r="G3" s="114" t="s">
        <v>8</v>
      </c>
      <c r="H3" s="114"/>
      <c r="I3" s="114"/>
      <c r="J3" s="114"/>
      <c r="K3" s="117" t="s">
        <v>2294</v>
      </c>
      <c r="L3" s="114" t="s">
        <v>11</v>
      </c>
      <c r="M3" s="99" t="s">
        <v>12</v>
      </c>
    </row>
    <row r="4" spans="1:13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118"/>
      <c r="L4" s="113"/>
      <c r="M4" s="100"/>
    </row>
    <row r="5" spans="1:13" ht="15.95">
      <c r="A5" s="101" t="s">
        <v>301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3">
      <c r="A6" s="10" t="s">
        <v>15</v>
      </c>
      <c r="B6" s="7" t="s">
        <v>3575</v>
      </c>
      <c r="C6" s="7" t="s">
        <v>3576</v>
      </c>
      <c r="D6" s="7" t="s">
        <v>331</v>
      </c>
      <c r="E6" s="7" t="str">
        <f>"0,7126"</f>
        <v>0,7126</v>
      </c>
      <c r="F6" s="7" t="s">
        <v>176</v>
      </c>
      <c r="G6" s="9" t="s">
        <v>459</v>
      </c>
      <c r="H6" s="8" t="s">
        <v>459</v>
      </c>
      <c r="I6" s="9" t="s">
        <v>490</v>
      </c>
      <c r="J6" s="10"/>
      <c r="K6" s="41" t="str">
        <f>"235,0"</f>
        <v>235,0</v>
      </c>
      <c r="L6" s="10" t="str">
        <f>"167,4610"</f>
        <v>167,4610</v>
      </c>
      <c r="M6" s="7" t="s">
        <v>3577</v>
      </c>
    </row>
    <row r="7" spans="1:13">
      <c r="B7" s="5" t="s">
        <v>40</v>
      </c>
    </row>
    <row r="8" spans="1:13" ht="15.95">
      <c r="A8" s="102" t="s">
        <v>334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3">
      <c r="A9" s="13" t="s">
        <v>15</v>
      </c>
      <c r="B9" s="11" t="s">
        <v>3578</v>
      </c>
      <c r="C9" s="11" t="s">
        <v>3579</v>
      </c>
      <c r="D9" s="11" t="s">
        <v>2599</v>
      </c>
      <c r="E9" s="11" t="str">
        <f>"0,6759"</f>
        <v>0,6759</v>
      </c>
      <c r="F9" s="11" t="s">
        <v>1968</v>
      </c>
      <c r="G9" s="12" t="s">
        <v>398</v>
      </c>
      <c r="H9" s="21" t="s">
        <v>374</v>
      </c>
      <c r="I9" s="21" t="s">
        <v>374</v>
      </c>
      <c r="J9" s="13"/>
      <c r="K9" s="37" t="str">
        <f>"180,0"</f>
        <v>180,0</v>
      </c>
      <c r="L9" s="13" t="str">
        <f>"121,6620"</f>
        <v>121,6620</v>
      </c>
      <c r="M9" s="11" t="s">
        <v>3580</v>
      </c>
    </row>
    <row r="10" spans="1:13">
      <c r="A10" s="20" t="s">
        <v>62</v>
      </c>
      <c r="B10" s="18" t="s">
        <v>3581</v>
      </c>
      <c r="C10" s="18" t="s">
        <v>3582</v>
      </c>
      <c r="D10" s="18" t="s">
        <v>488</v>
      </c>
      <c r="E10" s="18" t="str">
        <f>"0,6832"</f>
        <v>0,6832</v>
      </c>
      <c r="F10" s="18" t="s">
        <v>378</v>
      </c>
      <c r="G10" s="19" t="s">
        <v>209</v>
      </c>
      <c r="H10" s="19" t="s">
        <v>59</v>
      </c>
      <c r="I10" s="19" t="s">
        <v>60</v>
      </c>
      <c r="J10" s="20"/>
      <c r="K10" s="38" t="str">
        <f>"150,0"</f>
        <v>150,0</v>
      </c>
      <c r="L10" s="20" t="str">
        <f>"102,4800"</f>
        <v>102,4800</v>
      </c>
      <c r="M10" s="18" t="s">
        <v>379</v>
      </c>
    </row>
    <row r="11" spans="1:13">
      <c r="B11" s="5" t="s">
        <v>40</v>
      </c>
    </row>
    <row r="12" spans="1:13" ht="15.95">
      <c r="A12" s="102" t="s">
        <v>598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1:13">
      <c r="A13" s="13" t="s">
        <v>15</v>
      </c>
      <c r="B13" s="11" t="s">
        <v>3583</v>
      </c>
      <c r="C13" s="11" t="s">
        <v>3584</v>
      </c>
      <c r="D13" s="11" t="s">
        <v>1114</v>
      </c>
      <c r="E13" s="11" t="str">
        <f>"0,6467"</f>
        <v>0,6467</v>
      </c>
      <c r="F13" s="11" t="s">
        <v>176</v>
      </c>
      <c r="G13" s="21" t="s">
        <v>420</v>
      </c>
      <c r="H13" s="12" t="s">
        <v>420</v>
      </c>
      <c r="I13" s="12" t="s">
        <v>421</v>
      </c>
      <c r="J13" s="13"/>
      <c r="K13" s="37" t="str">
        <f>"230,0"</f>
        <v>230,0</v>
      </c>
      <c r="L13" s="13" t="str">
        <f>"148,7410"</f>
        <v>148,7410</v>
      </c>
      <c r="M13" s="11" t="s">
        <v>3580</v>
      </c>
    </row>
    <row r="14" spans="1:13">
      <c r="A14" s="17" t="s">
        <v>62</v>
      </c>
      <c r="B14" s="14" t="s">
        <v>3585</v>
      </c>
      <c r="C14" s="14" t="s">
        <v>3586</v>
      </c>
      <c r="D14" s="14" t="s">
        <v>643</v>
      </c>
      <c r="E14" s="14" t="str">
        <f>"0,6391"</f>
        <v>0,6391</v>
      </c>
      <c r="F14" s="14" t="s">
        <v>176</v>
      </c>
      <c r="G14" s="15" t="s">
        <v>374</v>
      </c>
      <c r="H14" s="16" t="s">
        <v>420</v>
      </c>
      <c r="I14" s="16" t="s">
        <v>385</v>
      </c>
      <c r="J14" s="17"/>
      <c r="K14" s="40" t="str">
        <f>"200,0"</f>
        <v>200,0</v>
      </c>
      <c r="L14" s="17" t="str">
        <f>"127,8200"</f>
        <v>127,8200</v>
      </c>
      <c r="M14" s="14" t="s">
        <v>3587</v>
      </c>
    </row>
    <row r="15" spans="1:13">
      <c r="A15" s="20" t="s">
        <v>15</v>
      </c>
      <c r="B15" s="18" t="s">
        <v>3588</v>
      </c>
      <c r="C15" s="18" t="s">
        <v>3589</v>
      </c>
      <c r="D15" s="18" t="s">
        <v>1081</v>
      </c>
      <c r="E15" s="18" t="str">
        <f>"0,6384"</f>
        <v>0,6384</v>
      </c>
      <c r="F15" s="18" t="s">
        <v>176</v>
      </c>
      <c r="G15" s="19" t="s">
        <v>392</v>
      </c>
      <c r="H15" s="19" t="s">
        <v>374</v>
      </c>
      <c r="I15" s="22" t="s">
        <v>420</v>
      </c>
      <c r="J15" s="20"/>
      <c r="K15" s="38" t="str">
        <f>"200,0"</f>
        <v>200,0</v>
      </c>
      <c r="L15" s="20" t="str">
        <f>"139,9373"</f>
        <v>139,9373</v>
      </c>
      <c r="M15" s="18" t="s">
        <v>158</v>
      </c>
    </row>
    <row r="16" spans="1:13">
      <c r="B16" s="5" t="s">
        <v>40</v>
      </c>
    </row>
    <row r="17" spans="1:13" ht="15.95">
      <c r="A17" s="102" t="s">
        <v>670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1:13">
      <c r="A18" s="13" t="s">
        <v>92</v>
      </c>
      <c r="B18" s="11" t="s">
        <v>3590</v>
      </c>
      <c r="C18" s="11" t="s">
        <v>3591</v>
      </c>
      <c r="D18" s="11" t="s">
        <v>1193</v>
      </c>
      <c r="E18" s="11" t="str">
        <f>"0,6131"</f>
        <v>0,6131</v>
      </c>
      <c r="F18" s="11" t="s">
        <v>119</v>
      </c>
      <c r="G18" s="21" t="s">
        <v>738</v>
      </c>
      <c r="H18" s="21" t="s">
        <v>738</v>
      </c>
      <c r="I18" s="21" t="s">
        <v>3592</v>
      </c>
      <c r="J18" s="13"/>
      <c r="K18" s="37">
        <v>0</v>
      </c>
      <c r="L18" s="13" t="str">
        <f>"0,0000"</f>
        <v>0,0000</v>
      </c>
      <c r="M18" s="11" t="s">
        <v>1171</v>
      </c>
    </row>
    <row r="19" spans="1:13">
      <c r="A19" s="20" t="s">
        <v>15</v>
      </c>
      <c r="B19" s="18" t="s">
        <v>3593</v>
      </c>
      <c r="C19" s="18" t="s">
        <v>3594</v>
      </c>
      <c r="D19" s="18" t="s">
        <v>1765</v>
      </c>
      <c r="E19" s="18" t="str">
        <f>"0,6096"</f>
        <v>0,6096</v>
      </c>
      <c r="F19" s="18" t="s">
        <v>176</v>
      </c>
      <c r="G19" s="19" t="s">
        <v>459</v>
      </c>
      <c r="H19" s="19" t="s">
        <v>627</v>
      </c>
      <c r="I19" s="22" t="s">
        <v>529</v>
      </c>
      <c r="J19" s="20"/>
      <c r="K19" s="38" t="str">
        <f>"245,0"</f>
        <v>245,0</v>
      </c>
      <c r="L19" s="20" t="str">
        <f>"150,0988"</f>
        <v>150,0988</v>
      </c>
      <c r="M19" s="18" t="s">
        <v>158</v>
      </c>
    </row>
    <row r="20" spans="1:13" ht="12.75">
      <c r="B20" s="5" t="s">
        <v>40</v>
      </c>
    </row>
    <row r="21" spans="1:13" ht="15.95">
      <c r="A21" s="102" t="s">
        <v>818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1:13">
      <c r="A22" s="10" t="s">
        <v>15</v>
      </c>
      <c r="B22" s="7" t="s">
        <v>3595</v>
      </c>
      <c r="C22" s="7" t="s">
        <v>3596</v>
      </c>
      <c r="D22" s="7" t="s">
        <v>3597</v>
      </c>
      <c r="E22" s="7" t="str">
        <f>"0,5480"</f>
        <v>0,5480</v>
      </c>
      <c r="F22" s="7" t="s">
        <v>3421</v>
      </c>
      <c r="G22" s="8" t="s">
        <v>60</v>
      </c>
      <c r="H22" s="8" t="s">
        <v>374</v>
      </c>
      <c r="I22" s="10"/>
      <c r="J22" s="10"/>
      <c r="K22" s="41" t="str">
        <f>"200,0"</f>
        <v>200,0</v>
      </c>
      <c r="L22" s="10" t="str">
        <f>"154,5360"</f>
        <v>154,5360</v>
      </c>
      <c r="M22" s="7" t="s">
        <v>158</v>
      </c>
    </row>
    <row r="23" spans="1:13">
      <c r="B23" s="5" t="s">
        <v>40</v>
      </c>
    </row>
    <row r="24" spans="1:13" ht="12.75"/>
  </sheetData>
  <mergeCells count="16">
    <mergeCell ref="A17:L17"/>
    <mergeCell ref="A21:L21"/>
    <mergeCell ref="B3:B4"/>
    <mergeCell ref="K3:K4"/>
    <mergeCell ref="L3:L4"/>
    <mergeCell ref="M3:M4"/>
    <mergeCell ref="A5:L5"/>
    <mergeCell ref="A8:L8"/>
    <mergeCell ref="A12:L12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M74"/>
  <sheetViews>
    <sheetView workbookViewId="0">
      <selection sqref="A1:M2"/>
    </sheetView>
  </sheetViews>
  <sheetFormatPr defaultColWidth="9.140625" defaultRowHeight="12.95"/>
  <cols>
    <col min="1" max="1" width="7.42578125" style="6" bestFit="1" customWidth="1"/>
    <col min="2" max="2" width="25.140625" style="5" bestFit="1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18.7109375" style="5" bestFit="1" customWidth="1"/>
    <col min="7" max="10" width="5.42578125" style="6" bestFit="1" customWidth="1"/>
    <col min="11" max="11" width="11.28515625" style="39" bestFit="1" customWidth="1"/>
    <col min="12" max="12" width="8.42578125" style="6" bestFit="1" customWidth="1"/>
    <col min="13" max="13" width="19" style="5" bestFit="1" customWidth="1"/>
    <col min="14" max="16384" width="9.140625" style="3"/>
  </cols>
  <sheetData>
    <row r="1" spans="1:13" s="2" customFormat="1" ht="29.1" customHeight="1">
      <c r="A1" s="103" t="s">
        <v>3598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3599</v>
      </c>
      <c r="F3" s="114" t="s">
        <v>6</v>
      </c>
      <c r="G3" s="114" t="s">
        <v>8</v>
      </c>
      <c r="H3" s="114"/>
      <c r="I3" s="114"/>
      <c r="J3" s="114"/>
      <c r="K3" s="117" t="s">
        <v>2294</v>
      </c>
      <c r="L3" s="114" t="s">
        <v>11</v>
      </c>
      <c r="M3" s="99" t="s">
        <v>12</v>
      </c>
    </row>
    <row r="4" spans="1:13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118"/>
      <c r="L4" s="113"/>
      <c r="M4" s="100"/>
    </row>
    <row r="5" spans="1:13" ht="15.95">
      <c r="A5" s="101" t="s">
        <v>141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3">
      <c r="A6" s="10" t="s">
        <v>15</v>
      </c>
      <c r="B6" s="7" t="s">
        <v>1369</v>
      </c>
      <c r="C6" s="7" t="s">
        <v>1370</v>
      </c>
      <c r="D6" s="7" t="s">
        <v>3600</v>
      </c>
      <c r="E6" s="7" t="str">
        <f>"1,0653"</f>
        <v>1,0653</v>
      </c>
      <c r="F6" s="7" t="s">
        <v>594</v>
      </c>
      <c r="G6" s="9" t="s">
        <v>47</v>
      </c>
      <c r="H6" s="9" t="s">
        <v>47</v>
      </c>
      <c r="I6" s="8" t="s">
        <v>47</v>
      </c>
      <c r="J6" s="9" t="s">
        <v>56</v>
      </c>
      <c r="K6" s="41" t="str">
        <f>"107,5"</f>
        <v>107,5</v>
      </c>
      <c r="L6" s="10" t="str">
        <f>"114,5197"</f>
        <v>114,5197</v>
      </c>
      <c r="M6" s="7" t="s">
        <v>1371</v>
      </c>
    </row>
    <row r="7" spans="1:13">
      <c r="B7" s="5" t="s">
        <v>40</v>
      </c>
    </row>
    <row r="8" spans="1:13" ht="15.95">
      <c r="A8" s="102" t="s">
        <v>301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3">
      <c r="A9" s="10" t="s">
        <v>15</v>
      </c>
      <c r="B9" s="7" t="s">
        <v>2541</v>
      </c>
      <c r="C9" s="7" t="s">
        <v>2542</v>
      </c>
      <c r="D9" s="7" t="s">
        <v>323</v>
      </c>
      <c r="E9" s="7" t="str">
        <f>"0,6920"</f>
        <v>0,6920</v>
      </c>
      <c r="F9" s="7" t="s">
        <v>2543</v>
      </c>
      <c r="G9" s="8" t="s">
        <v>152</v>
      </c>
      <c r="H9" s="9" t="s">
        <v>351</v>
      </c>
      <c r="I9" s="9" t="s">
        <v>351</v>
      </c>
      <c r="J9" s="10"/>
      <c r="K9" s="41" t="str">
        <f>"165,0"</f>
        <v>165,0</v>
      </c>
      <c r="L9" s="10" t="str">
        <f>"119,0811"</f>
        <v>119,0811</v>
      </c>
      <c r="M9" s="7" t="s">
        <v>2544</v>
      </c>
    </row>
    <row r="10" spans="1:13">
      <c r="B10" s="5" t="s">
        <v>40</v>
      </c>
    </row>
    <row r="11" spans="1:13" ht="15.95">
      <c r="A11" s="102" t="s">
        <v>334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3">
      <c r="A12" s="13" t="s">
        <v>15</v>
      </c>
      <c r="B12" s="11" t="s">
        <v>3601</v>
      </c>
      <c r="C12" s="11" t="s">
        <v>3602</v>
      </c>
      <c r="D12" s="11" t="s">
        <v>521</v>
      </c>
      <c r="E12" s="11" t="str">
        <f>"0,6503"</f>
        <v>0,6503</v>
      </c>
      <c r="F12" s="11" t="s">
        <v>1391</v>
      </c>
      <c r="G12" s="12" t="s">
        <v>420</v>
      </c>
      <c r="H12" s="12" t="s">
        <v>459</v>
      </c>
      <c r="I12" s="21" t="s">
        <v>422</v>
      </c>
      <c r="J12" s="13"/>
      <c r="K12" s="37" t="str">
        <f>"235,0"</f>
        <v>235,0</v>
      </c>
      <c r="L12" s="13" t="str">
        <f>"152,8088"</f>
        <v>152,8088</v>
      </c>
      <c r="M12" s="11" t="s">
        <v>3603</v>
      </c>
    </row>
    <row r="13" spans="1:13">
      <c r="A13" s="17" t="s">
        <v>62</v>
      </c>
      <c r="B13" s="14" t="s">
        <v>2576</v>
      </c>
      <c r="C13" s="14" t="s">
        <v>2577</v>
      </c>
      <c r="D13" s="14" t="s">
        <v>546</v>
      </c>
      <c r="E13" s="14" t="str">
        <f>"0,6567"</f>
        <v>0,6567</v>
      </c>
      <c r="F13" s="14" t="s">
        <v>1105</v>
      </c>
      <c r="G13" s="16" t="s">
        <v>421</v>
      </c>
      <c r="H13" s="16" t="s">
        <v>421</v>
      </c>
      <c r="I13" s="15" t="s">
        <v>421</v>
      </c>
      <c r="J13" s="17"/>
      <c r="K13" s="40" t="str">
        <f>"230,0"</f>
        <v>230,0</v>
      </c>
      <c r="L13" s="17" t="str">
        <f>"151,0410"</f>
        <v>151,0410</v>
      </c>
      <c r="M13" s="14" t="s">
        <v>158</v>
      </c>
    </row>
    <row r="14" spans="1:13">
      <c r="A14" s="17" t="s">
        <v>73</v>
      </c>
      <c r="B14" s="14" t="s">
        <v>2625</v>
      </c>
      <c r="C14" s="14" t="s">
        <v>3604</v>
      </c>
      <c r="D14" s="14" t="s">
        <v>521</v>
      </c>
      <c r="E14" s="14" t="str">
        <f>"0,6503"</f>
        <v>0,6503</v>
      </c>
      <c r="F14" s="14" t="s">
        <v>1238</v>
      </c>
      <c r="G14" s="15" t="s">
        <v>743</v>
      </c>
      <c r="H14" s="16" t="s">
        <v>384</v>
      </c>
      <c r="I14" s="16" t="s">
        <v>384</v>
      </c>
      <c r="J14" s="17"/>
      <c r="K14" s="40" t="str">
        <f>"202,5"</f>
        <v>202,5</v>
      </c>
      <c r="L14" s="17" t="str">
        <f>"131,6756"</f>
        <v>131,6756</v>
      </c>
      <c r="M14" s="14" t="s">
        <v>158</v>
      </c>
    </row>
    <row r="15" spans="1:13">
      <c r="A15" s="17" t="s">
        <v>92</v>
      </c>
      <c r="B15" s="14" t="s">
        <v>2630</v>
      </c>
      <c r="C15" s="14" t="s">
        <v>3605</v>
      </c>
      <c r="D15" s="14" t="s">
        <v>539</v>
      </c>
      <c r="E15" s="14" t="str">
        <f>"0,6477"</f>
        <v>0,6477</v>
      </c>
      <c r="F15" s="14" t="s">
        <v>262</v>
      </c>
      <c r="G15" s="16" t="s">
        <v>384</v>
      </c>
      <c r="H15" s="16" t="s">
        <v>384</v>
      </c>
      <c r="I15" s="16" t="s">
        <v>384</v>
      </c>
      <c r="J15" s="17"/>
      <c r="K15" s="40">
        <v>0</v>
      </c>
      <c r="L15" s="17" t="str">
        <f>"0,0000"</f>
        <v>0,0000</v>
      </c>
      <c r="M15" s="14" t="s">
        <v>158</v>
      </c>
    </row>
    <row r="16" spans="1:13">
      <c r="A16" s="17" t="s">
        <v>15</v>
      </c>
      <c r="B16" s="14" t="s">
        <v>2576</v>
      </c>
      <c r="C16" s="14" t="s">
        <v>2624</v>
      </c>
      <c r="D16" s="14" t="s">
        <v>546</v>
      </c>
      <c r="E16" s="14" t="str">
        <f>"0,6567"</f>
        <v>0,6567</v>
      </c>
      <c r="F16" s="14" t="s">
        <v>1105</v>
      </c>
      <c r="G16" s="16" t="s">
        <v>421</v>
      </c>
      <c r="H16" s="16" t="s">
        <v>421</v>
      </c>
      <c r="I16" s="15" t="s">
        <v>421</v>
      </c>
      <c r="J16" s="17"/>
      <c r="K16" s="40" t="str">
        <f>"230,0"</f>
        <v>230,0</v>
      </c>
      <c r="L16" s="17" t="str">
        <f>"154,0618"</f>
        <v>154,0618</v>
      </c>
      <c r="M16" s="14" t="s">
        <v>158</v>
      </c>
    </row>
    <row r="17" spans="1:13">
      <c r="A17" s="17" t="s">
        <v>62</v>
      </c>
      <c r="B17" s="14" t="s">
        <v>2625</v>
      </c>
      <c r="C17" s="14" t="s">
        <v>2626</v>
      </c>
      <c r="D17" s="14" t="s">
        <v>521</v>
      </c>
      <c r="E17" s="14" t="str">
        <f>"0,6503"</f>
        <v>0,6503</v>
      </c>
      <c r="F17" s="14" t="s">
        <v>1238</v>
      </c>
      <c r="G17" s="15" t="s">
        <v>743</v>
      </c>
      <c r="H17" s="16" t="s">
        <v>384</v>
      </c>
      <c r="I17" s="16" t="s">
        <v>384</v>
      </c>
      <c r="J17" s="17"/>
      <c r="K17" s="40" t="str">
        <f>"202,5"</f>
        <v>202,5</v>
      </c>
      <c r="L17" s="17" t="str">
        <f>"137,3377"</f>
        <v>137,3377</v>
      </c>
      <c r="M17" s="14" t="s">
        <v>158</v>
      </c>
    </row>
    <row r="18" spans="1:13">
      <c r="A18" s="17" t="s">
        <v>73</v>
      </c>
      <c r="B18" s="14" t="s">
        <v>2627</v>
      </c>
      <c r="C18" s="14" t="s">
        <v>2628</v>
      </c>
      <c r="D18" s="14" t="s">
        <v>1458</v>
      </c>
      <c r="E18" s="14" t="str">
        <f>"0,6456"</f>
        <v>0,6456</v>
      </c>
      <c r="F18" s="14" t="s">
        <v>594</v>
      </c>
      <c r="G18" s="15" t="s">
        <v>60</v>
      </c>
      <c r="H18" s="15" t="s">
        <v>151</v>
      </c>
      <c r="I18" s="16" t="s">
        <v>152</v>
      </c>
      <c r="J18" s="17"/>
      <c r="K18" s="40" t="str">
        <f>"160,0"</f>
        <v>160,0</v>
      </c>
      <c r="L18" s="17" t="str">
        <f>"105,3619"</f>
        <v>105,3619</v>
      </c>
      <c r="M18" s="14" t="s">
        <v>2629</v>
      </c>
    </row>
    <row r="19" spans="1:13">
      <c r="A19" s="17" t="s">
        <v>15</v>
      </c>
      <c r="B19" s="14" t="s">
        <v>3606</v>
      </c>
      <c r="C19" s="14" t="s">
        <v>3607</v>
      </c>
      <c r="D19" s="14" t="s">
        <v>521</v>
      </c>
      <c r="E19" s="14" t="str">
        <f>"0,6503"</f>
        <v>0,6503</v>
      </c>
      <c r="F19" s="14" t="s">
        <v>91</v>
      </c>
      <c r="G19" s="15" t="s">
        <v>60</v>
      </c>
      <c r="H19" s="16" t="s">
        <v>342</v>
      </c>
      <c r="I19" s="15" t="s">
        <v>342</v>
      </c>
      <c r="J19" s="17"/>
      <c r="K19" s="40" t="str">
        <f>"152,5"</f>
        <v>152,5</v>
      </c>
      <c r="L19" s="17" t="str">
        <f>"112,0543"</f>
        <v>112,0543</v>
      </c>
      <c r="M19" s="14" t="s">
        <v>1594</v>
      </c>
    </row>
    <row r="20" spans="1:13">
      <c r="A20" s="20" t="s">
        <v>92</v>
      </c>
      <c r="B20" s="18" t="s">
        <v>2630</v>
      </c>
      <c r="C20" s="18" t="s">
        <v>2631</v>
      </c>
      <c r="D20" s="18" t="s">
        <v>539</v>
      </c>
      <c r="E20" s="18" t="str">
        <f>"0,6477"</f>
        <v>0,6477</v>
      </c>
      <c r="F20" s="18" t="s">
        <v>262</v>
      </c>
      <c r="G20" s="22" t="s">
        <v>384</v>
      </c>
      <c r="H20" s="22" t="s">
        <v>384</v>
      </c>
      <c r="I20" s="22" t="s">
        <v>384</v>
      </c>
      <c r="J20" s="20"/>
      <c r="K20" s="38">
        <v>0</v>
      </c>
      <c r="L20" s="20" t="str">
        <f>"0,0000"</f>
        <v>0,0000</v>
      </c>
      <c r="M20" s="18" t="s">
        <v>158</v>
      </c>
    </row>
    <row r="21" spans="1:13">
      <c r="B21" s="5" t="s">
        <v>40</v>
      </c>
    </row>
    <row r="22" spans="1:13" ht="15.95">
      <c r="A22" s="102" t="s">
        <v>598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1:13">
      <c r="A23" s="13" t="s">
        <v>15</v>
      </c>
      <c r="B23" s="11" t="s">
        <v>3608</v>
      </c>
      <c r="C23" s="11" t="s">
        <v>3609</v>
      </c>
      <c r="D23" s="11" t="s">
        <v>639</v>
      </c>
      <c r="E23" s="11" t="str">
        <f>"0,6242"</f>
        <v>0,6242</v>
      </c>
      <c r="F23" s="11" t="s">
        <v>1214</v>
      </c>
      <c r="G23" s="21" t="s">
        <v>248</v>
      </c>
      <c r="H23" s="12" t="s">
        <v>248</v>
      </c>
      <c r="I23" s="21" t="s">
        <v>398</v>
      </c>
      <c r="J23" s="13"/>
      <c r="K23" s="37" t="str">
        <f>"170,0"</f>
        <v>170,0</v>
      </c>
      <c r="L23" s="13" t="str">
        <f>"106,1225"</f>
        <v>106,1225</v>
      </c>
      <c r="M23" s="11" t="s">
        <v>158</v>
      </c>
    </row>
    <row r="24" spans="1:13">
      <c r="A24" s="17" t="s">
        <v>15</v>
      </c>
      <c r="B24" s="14" t="s">
        <v>3610</v>
      </c>
      <c r="C24" s="14" t="s">
        <v>913</v>
      </c>
      <c r="D24" s="14" t="s">
        <v>1085</v>
      </c>
      <c r="E24" s="14" t="str">
        <f>"0,6192"</f>
        <v>0,6192</v>
      </c>
      <c r="F24" s="14" t="s">
        <v>1878</v>
      </c>
      <c r="G24" s="15" t="s">
        <v>420</v>
      </c>
      <c r="H24" s="15" t="s">
        <v>421</v>
      </c>
      <c r="I24" s="15" t="s">
        <v>682</v>
      </c>
      <c r="J24" s="17"/>
      <c r="K24" s="40" t="str">
        <f>"237,5"</f>
        <v>237,5</v>
      </c>
      <c r="L24" s="17" t="str">
        <f>"147,0719"</f>
        <v>147,0719</v>
      </c>
      <c r="M24" s="14" t="s">
        <v>158</v>
      </c>
    </row>
    <row r="25" spans="1:13">
      <c r="A25" s="17" t="s">
        <v>62</v>
      </c>
      <c r="B25" s="14" t="s">
        <v>3611</v>
      </c>
      <c r="C25" s="14" t="s">
        <v>3612</v>
      </c>
      <c r="D25" s="14" t="s">
        <v>649</v>
      </c>
      <c r="E25" s="14" t="str">
        <f>"0,6169"</f>
        <v>0,6169</v>
      </c>
      <c r="F25" s="14" t="s">
        <v>3613</v>
      </c>
      <c r="G25" s="15" t="s">
        <v>436</v>
      </c>
      <c r="H25" s="15" t="s">
        <v>507</v>
      </c>
      <c r="I25" s="15" t="s">
        <v>682</v>
      </c>
      <c r="J25" s="17"/>
      <c r="K25" s="40" t="str">
        <f>"237,5"</f>
        <v>237,5</v>
      </c>
      <c r="L25" s="17" t="str">
        <f>"146,5019"</f>
        <v>146,5019</v>
      </c>
      <c r="M25" s="14" t="s">
        <v>3614</v>
      </c>
    </row>
    <row r="26" spans="1:13">
      <c r="A26" s="17" t="s">
        <v>73</v>
      </c>
      <c r="B26" s="14" t="s">
        <v>3615</v>
      </c>
      <c r="C26" s="14" t="s">
        <v>3616</v>
      </c>
      <c r="D26" s="14" t="s">
        <v>1076</v>
      </c>
      <c r="E26" s="14" t="str">
        <f>"0,6184"</f>
        <v>0,6184</v>
      </c>
      <c r="F26" s="14" t="s">
        <v>1155</v>
      </c>
      <c r="G26" s="16" t="s">
        <v>420</v>
      </c>
      <c r="H26" s="15" t="s">
        <v>442</v>
      </c>
      <c r="I26" s="16" t="s">
        <v>508</v>
      </c>
      <c r="J26" s="17"/>
      <c r="K26" s="40" t="str">
        <f>"225,0"</f>
        <v>225,0</v>
      </c>
      <c r="L26" s="17" t="str">
        <f>"139,1512"</f>
        <v>139,1512</v>
      </c>
      <c r="M26" s="14" t="s">
        <v>2747</v>
      </c>
    </row>
    <row r="27" spans="1:13">
      <c r="A27" s="17" t="s">
        <v>75</v>
      </c>
      <c r="B27" s="14" t="s">
        <v>2676</v>
      </c>
      <c r="C27" s="14" t="s">
        <v>2677</v>
      </c>
      <c r="D27" s="14" t="s">
        <v>2678</v>
      </c>
      <c r="E27" s="14" t="str">
        <f>"0,6277"</f>
        <v>0,6277</v>
      </c>
      <c r="F27" s="14" t="s">
        <v>232</v>
      </c>
      <c r="G27" s="16" t="s">
        <v>392</v>
      </c>
      <c r="H27" s="15" t="s">
        <v>383</v>
      </c>
      <c r="I27" s="16" t="s">
        <v>374</v>
      </c>
      <c r="J27" s="17"/>
      <c r="K27" s="40" t="str">
        <f>"195,0"</f>
        <v>195,0</v>
      </c>
      <c r="L27" s="17" t="str">
        <f>"122,4015"</f>
        <v>122,4015</v>
      </c>
      <c r="M27" s="14" t="s">
        <v>2679</v>
      </c>
    </row>
    <row r="28" spans="1:13">
      <c r="A28" s="17" t="s">
        <v>15</v>
      </c>
      <c r="B28" s="14" t="s">
        <v>3611</v>
      </c>
      <c r="C28" s="14" t="s">
        <v>3617</v>
      </c>
      <c r="D28" s="14" t="s">
        <v>649</v>
      </c>
      <c r="E28" s="14" t="str">
        <f>"0,6169"</f>
        <v>0,6169</v>
      </c>
      <c r="F28" s="14" t="s">
        <v>3613</v>
      </c>
      <c r="G28" s="15" t="s">
        <v>436</v>
      </c>
      <c r="H28" s="15" t="s">
        <v>507</v>
      </c>
      <c r="I28" s="15" t="s">
        <v>682</v>
      </c>
      <c r="J28" s="17"/>
      <c r="K28" s="40" t="str">
        <f>"237,5"</f>
        <v>237,5</v>
      </c>
      <c r="L28" s="17" t="str">
        <f>"168,0377"</f>
        <v>168,0377</v>
      </c>
      <c r="M28" s="14" t="s">
        <v>3614</v>
      </c>
    </row>
    <row r="29" spans="1:13">
      <c r="A29" s="17" t="s">
        <v>15</v>
      </c>
      <c r="B29" s="14" t="s">
        <v>3618</v>
      </c>
      <c r="C29" s="14" t="s">
        <v>3619</v>
      </c>
      <c r="D29" s="14" t="s">
        <v>660</v>
      </c>
      <c r="E29" s="14" t="str">
        <f>"0,6153"</f>
        <v>0,6153</v>
      </c>
      <c r="F29" s="14" t="s">
        <v>91</v>
      </c>
      <c r="G29" s="15" t="s">
        <v>152</v>
      </c>
      <c r="H29" s="16" t="s">
        <v>351</v>
      </c>
      <c r="I29" s="15" t="s">
        <v>351</v>
      </c>
      <c r="J29" s="17"/>
      <c r="K29" s="40" t="str">
        <f>"175,0"</f>
        <v>175,0</v>
      </c>
      <c r="L29" s="17" t="str">
        <f>"169,6997"</f>
        <v>169,6997</v>
      </c>
      <c r="M29" s="14" t="s">
        <v>158</v>
      </c>
    </row>
    <row r="30" spans="1:13">
      <c r="A30" s="20" t="s">
        <v>62</v>
      </c>
      <c r="B30" s="18" t="s">
        <v>3620</v>
      </c>
      <c r="C30" s="18" t="s">
        <v>3621</v>
      </c>
      <c r="D30" s="18" t="s">
        <v>1480</v>
      </c>
      <c r="E30" s="18" t="str">
        <f>"0,6149"</f>
        <v>0,6149</v>
      </c>
      <c r="F30" s="18" t="s">
        <v>2543</v>
      </c>
      <c r="G30" s="19" t="s">
        <v>58</v>
      </c>
      <c r="H30" s="22" t="s">
        <v>60</v>
      </c>
      <c r="I30" s="22" t="s">
        <v>60</v>
      </c>
      <c r="J30" s="20"/>
      <c r="K30" s="38" t="str">
        <f>"140,0"</f>
        <v>140,0</v>
      </c>
      <c r="L30" s="20" t="str">
        <f>"132,8307"</f>
        <v>132,8307</v>
      </c>
      <c r="M30" s="18" t="s">
        <v>158</v>
      </c>
    </row>
    <row r="31" spans="1:13">
      <c r="B31" s="5" t="s">
        <v>40</v>
      </c>
    </row>
    <row r="32" spans="1:13" ht="15.95">
      <c r="A32" s="102" t="s">
        <v>670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1:13">
      <c r="A33" s="13" t="s">
        <v>15</v>
      </c>
      <c r="B33" s="11" t="s">
        <v>2745</v>
      </c>
      <c r="C33" s="11" t="s">
        <v>2746</v>
      </c>
      <c r="D33" s="11" t="s">
        <v>1832</v>
      </c>
      <c r="E33" s="11" t="str">
        <f>"0,5833"</f>
        <v>0,5833</v>
      </c>
      <c r="F33" s="11" t="s">
        <v>3622</v>
      </c>
      <c r="G33" s="12" t="s">
        <v>422</v>
      </c>
      <c r="H33" s="21" t="s">
        <v>490</v>
      </c>
      <c r="I33" s="12" t="s">
        <v>490</v>
      </c>
      <c r="J33" s="13"/>
      <c r="K33" s="37" t="str">
        <f>"250,0"</f>
        <v>250,0</v>
      </c>
      <c r="L33" s="13" t="str">
        <f>"145,8250"</f>
        <v>145,8250</v>
      </c>
      <c r="M33" s="11" t="s">
        <v>2747</v>
      </c>
    </row>
    <row r="34" spans="1:13">
      <c r="A34" s="17" t="s">
        <v>92</v>
      </c>
      <c r="B34" s="14" t="s">
        <v>2758</v>
      </c>
      <c r="C34" s="14" t="s">
        <v>2759</v>
      </c>
      <c r="D34" s="14" t="s">
        <v>686</v>
      </c>
      <c r="E34" s="14" t="str">
        <f>"0,5840"</f>
        <v>0,5840</v>
      </c>
      <c r="F34" s="14" t="s">
        <v>1238</v>
      </c>
      <c r="G34" s="16" t="s">
        <v>384</v>
      </c>
      <c r="H34" s="16" t="s">
        <v>384</v>
      </c>
      <c r="I34" s="16" t="s">
        <v>384</v>
      </c>
      <c r="J34" s="17"/>
      <c r="K34" s="40">
        <v>0</v>
      </c>
      <c r="L34" s="17" t="str">
        <f>"0,0000"</f>
        <v>0,0000</v>
      </c>
      <c r="M34" s="14" t="s">
        <v>2760</v>
      </c>
    </row>
    <row r="35" spans="1:13">
      <c r="A35" s="17" t="s">
        <v>15</v>
      </c>
      <c r="B35" s="14" t="s">
        <v>3623</v>
      </c>
      <c r="C35" s="14" t="s">
        <v>3624</v>
      </c>
      <c r="D35" s="14" t="s">
        <v>1832</v>
      </c>
      <c r="E35" s="14" t="str">
        <f>"0,5833"</f>
        <v>0,5833</v>
      </c>
      <c r="F35" s="14" t="s">
        <v>3625</v>
      </c>
      <c r="G35" s="15" t="s">
        <v>152</v>
      </c>
      <c r="H35" s="15" t="s">
        <v>351</v>
      </c>
      <c r="I35" s="15" t="s">
        <v>453</v>
      </c>
      <c r="J35" s="17"/>
      <c r="K35" s="40" t="str">
        <f>"187,5"</f>
        <v>187,5</v>
      </c>
      <c r="L35" s="17" t="str">
        <f>"116,8058"</f>
        <v>116,8058</v>
      </c>
      <c r="M35" s="14" t="s">
        <v>3626</v>
      </c>
    </row>
    <row r="36" spans="1:13">
      <c r="A36" s="17" t="s">
        <v>15</v>
      </c>
      <c r="B36" s="14" t="s">
        <v>713</v>
      </c>
      <c r="C36" s="14" t="s">
        <v>714</v>
      </c>
      <c r="D36" s="14" t="s">
        <v>715</v>
      </c>
      <c r="E36" s="14" t="str">
        <f>"0,5946"</f>
        <v>0,5946</v>
      </c>
      <c r="F36" s="14" t="s">
        <v>594</v>
      </c>
      <c r="G36" s="16" t="s">
        <v>743</v>
      </c>
      <c r="H36" s="15" t="s">
        <v>743</v>
      </c>
      <c r="I36" s="15" t="s">
        <v>495</v>
      </c>
      <c r="J36" s="17"/>
      <c r="K36" s="40" t="str">
        <f>"212,5"</f>
        <v>212,5</v>
      </c>
      <c r="L36" s="17" t="str">
        <f>"157,4352"</f>
        <v>157,4352</v>
      </c>
      <c r="M36" s="14" t="s">
        <v>716</v>
      </c>
    </row>
    <row r="37" spans="1:13">
      <c r="A37" s="17" t="s">
        <v>62</v>
      </c>
      <c r="B37" s="14" t="s">
        <v>2159</v>
      </c>
      <c r="C37" s="14" t="s">
        <v>2160</v>
      </c>
      <c r="D37" s="14" t="s">
        <v>2161</v>
      </c>
      <c r="E37" s="14" t="str">
        <f>"0,5987"</f>
        <v>0,5987</v>
      </c>
      <c r="F37" s="14" t="s">
        <v>2162</v>
      </c>
      <c r="G37" s="16" t="s">
        <v>374</v>
      </c>
      <c r="H37" s="15" t="s">
        <v>374</v>
      </c>
      <c r="I37" s="15" t="s">
        <v>384</v>
      </c>
      <c r="J37" s="17"/>
      <c r="K37" s="40" t="str">
        <f>"210,0"</f>
        <v>210,0</v>
      </c>
      <c r="L37" s="17" t="str">
        <f>"146,4720"</f>
        <v>146,4720</v>
      </c>
      <c r="M37" s="14" t="s">
        <v>2163</v>
      </c>
    </row>
    <row r="38" spans="1:13">
      <c r="A38" s="20" t="s">
        <v>15</v>
      </c>
      <c r="B38" s="18" t="s">
        <v>721</v>
      </c>
      <c r="C38" s="18" t="s">
        <v>722</v>
      </c>
      <c r="D38" s="18" t="s">
        <v>1130</v>
      </c>
      <c r="E38" s="18" t="str">
        <f>"0,5917"</f>
        <v>0,5917</v>
      </c>
      <c r="F38" s="18" t="s">
        <v>594</v>
      </c>
      <c r="G38" s="19" t="s">
        <v>60</v>
      </c>
      <c r="H38" s="19" t="s">
        <v>248</v>
      </c>
      <c r="I38" s="22" t="s">
        <v>392</v>
      </c>
      <c r="J38" s="20"/>
      <c r="K38" s="38" t="str">
        <f>"170,0"</f>
        <v>170,0</v>
      </c>
      <c r="L38" s="20" t="str">
        <f>"142,9249"</f>
        <v>142,9249</v>
      </c>
      <c r="M38" s="18" t="s">
        <v>158</v>
      </c>
    </row>
    <row r="39" spans="1:13">
      <c r="B39" s="5" t="s">
        <v>40</v>
      </c>
    </row>
    <row r="40" spans="1:13" ht="15.95">
      <c r="A40" s="102" t="s">
        <v>724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1:13">
      <c r="A41" s="13" t="s">
        <v>15</v>
      </c>
      <c r="B41" s="11" t="s">
        <v>774</v>
      </c>
      <c r="C41" s="11" t="s">
        <v>3627</v>
      </c>
      <c r="D41" s="11" t="s">
        <v>776</v>
      </c>
      <c r="E41" s="11" t="str">
        <f>"0,5647"</f>
        <v>0,5647</v>
      </c>
      <c r="F41" s="11" t="s">
        <v>602</v>
      </c>
      <c r="G41" s="12" t="s">
        <v>421</v>
      </c>
      <c r="H41" s="21" t="s">
        <v>627</v>
      </c>
      <c r="I41" s="12" t="s">
        <v>627</v>
      </c>
      <c r="J41" s="13"/>
      <c r="K41" s="37" t="str">
        <f>"245,0"</f>
        <v>245,0</v>
      </c>
      <c r="L41" s="13" t="str">
        <f>"138,3515"</f>
        <v>138,3515</v>
      </c>
      <c r="M41" s="11" t="s">
        <v>158</v>
      </c>
    </row>
    <row r="42" spans="1:13">
      <c r="A42" s="17" t="s">
        <v>62</v>
      </c>
      <c r="B42" s="14" t="s">
        <v>3628</v>
      </c>
      <c r="C42" s="14" t="s">
        <v>3629</v>
      </c>
      <c r="D42" s="14" t="s">
        <v>3630</v>
      </c>
      <c r="E42" s="14" t="str">
        <f>"0,5742"</f>
        <v>0,5742</v>
      </c>
      <c r="F42" s="14" t="s">
        <v>91</v>
      </c>
      <c r="G42" s="16" t="s">
        <v>420</v>
      </c>
      <c r="H42" s="15" t="s">
        <v>420</v>
      </c>
      <c r="I42" s="15" t="s">
        <v>421</v>
      </c>
      <c r="J42" s="17"/>
      <c r="K42" s="40" t="str">
        <f>"230,0"</f>
        <v>230,0</v>
      </c>
      <c r="L42" s="17" t="str">
        <f>"132,0660"</f>
        <v>132,0660</v>
      </c>
      <c r="M42" s="14" t="s">
        <v>1594</v>
      </c>
    </row>
    <row r="43" spans="1:13">
      <c r="A43" s="17" t="s">
        <v>73</v>
      </c>
      <c r="B43" s="14" t="s">
        <v>3631</v>
      </c>
      <c r="C43" s="14" t="s">
        <v>3632</v>
      </c>
      <c r="D43" s="14" t="s">
        <v>782</v>
      </c>
      <c r="E43" s="14" t="str">
        <f>"0,5748"</f>
        <v>0,5748</v>
      </c>
      <c r="F43" s="14" t="s">
        <v>2813</v>
      </c>
      <c r="G43" s="15" t="s">
        <v>399</v>
      </c>
      <c r="H43" s="15" t="s">
        <v>384</v>
      </c>
      <c r="I43" s="16" t="s">
        <v>436</v>
      </c>
      <c r="J43" s="17"/>
      <c r="K43" s="40" t="str">
        <f>"210,0"</f>
        <v>210,0</v>
      </c>
      <c r="L43" s="17" t="str">
        <f>"120,7080"</f>
        <v>120,7080</v>
      </c>
      <c r="M43" s="14" t="s">
        <v>158</v>
      </c>
    </row>
    <row r="44" spans="1:13">
      <c r="A44" s="17" t="s">
        <v>15</v>
      </c>
      <c r="B44" s="14" t="s">
        <v>774</v>
      </c>
      <c r="C44" s="14" t="s">
        <v>775</v>
      </c>
      <c r="D44" s="14" t="s">
        <v>776</v>
      </c>
      <c r="E44" s="14" t="str">
        <f>"0,5647"</f>
        <v>0,5647</v>
      </c>
      <c r="F44" s="14" t="s">
        <v>602</v>
      </c>
      <c r="G44" s="15" t="s">
        <v>421</v>
      </c>
      <c r="H44" s="16" t="s">
        <v>627</v>
      </c>
      <c r="I44" s="15" t="s">
        <v>627</v>
      </c>
      <c r="J44" s="17"/>
      <c r="K44" s="40" t="str">
        <f>"245,0"</f>
        <v>245,0</v>
      </c>
      <c r="L44" s="17" t="str">
        <f>"144,3006"</f>
        <v>144,3006</v>
      </c>
      <c r="M44" s="14" t="s">
        <v>158</v>
      </c>
    </row>
    <row r="45" spans="1:13">
      <c r="A45" s="20" t="s">
        <v>15</v>
      </c>
      <c r="B45" s="18" t="s">
        <v>777</v>
      </c>
      <c r="C45" s="18" t="s">
        <v>778</v>
      </c>
      <c r="D45" s="18" t="s">
        <v>779</v>
      </c>
      <c r="E45" s="18" t="str">
        <f>"0,5655"</f>
        <v>0,5655</v>
      </c>
      <c r="F45" s="18" t="s">
        <v>594</v>
      </c>
      <c r="G45" s="19" t="s">
        <v>58</v>
      </c>
      <c r="H45" s="19" t="s">
        <v>205</v>
      </c>
      <c r="I45" s="22" t="s">
        <v>248</v>
      </c>
      <c r="J45" s="20"/>
      <c r="K45" s="38" t="str">
        <f>"155,0"</f>
        <v>155,0</v>
      </c>
      <c r="L45" s="20" t="str">
        <f>"103,7806"</f>
        <v>103,7806</v>
      </c>
      <c r="M45" s="18" t="s">
        <v>716</v>
      </c>
    </row>
    <row r="46" spans="1:13">
      <c r="B46" s="5" t="s">
        <v>40</v>
      </c>
    </row>
    <row r="47" spans="1:13" ht="15.95">
      <c r="A47" s="102" t="s">
        <v>783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</row>
    <row r="48" spans="1:13">
      <c r="A48" s="13" t="s">
        <v>15</v>
      </c>
      <c r="B48" s="11" t="s">
        <v>3633</v>
      </c>
      <c r="C48" s="11" t="s">
        <v>3634</v>
      </c>
      <c r="D48" s="11" t="s">
        <v>3429</v>
      </c>
      <c r="E48" s="11" t="str">
        <f>"0,5507"</f>
        <v>0,5507</v>
      </c>
      <c r="F48" s="11" t="s">
        <v>3635</v>
      </c>
      <c r="G48" s="12" t="s">
        <v>738</v>
      </c>
      <c r="H48" s="12" t="s">
        <v>822</v>
      </c>
      <c r="I48" s="21" t="s">
        <v>804</v>
      </c>
      <c r="J48" s="13"/>
      <c r="K48" s="37" t="str">
        <f>"290,0"</f>
        <v>290,0</v>
      </c>
      <c r="L48" s="13" t="str">
        <f>"159,6885"</f>
        <v>159,6885</v>
      </c>
      <c r="M48" s="11" t="s">
        <v>3636</v>
      </c>
    </row>
    <row r="49" spans="1:13">
      <c r="A49" s="17" t="s">
        <v>62</v>
      </c>
      <c r="B49" s="14" t="s">
        <v>2932</v>
      </c>
      <c r="C49" s="14" t="s">
        <v>2933</v>
      </c>
      <c r="D49" s="14" t="s">
        <v>2934</v>
      </c>
      <c r="E49" s="14" t="str">
        <f>"0,5529"</f>
        <v>0,5529</v>
      </c>
      <c r="F49" s="14" t="s">
        <v>66</v>
      </c>
      <c r="G49" s="15" t="s">
        <v>490</v>
      </c>
      <c r="H49" s="16" t="s">
        <v>523</v>
      </c>
      <c r="I49" s="16" t="s">
        <v>523</v>
      </c>
      <c r="J49" s="17"/>
      <c r="K49" s="40" t="str">
        <f>"250,0"</f>
        <v>250,0</v>
      </c>
      <c r="L49" s="17" t="str">
        <f>"138,2250"</f>
        <v>138,2250</v>
      </c>
      <c r="M49" s="14" t="s">
        <v>2198</v>
      </c>
    </row>
    <row r="50" spans="1:13">
      <c r="A50" s="17" t="s">
        <v>73</v>
      </c>
      <c r="B50" s="14" t="s">
        <v>3637</v>
      </c>
      <c r="C50" s="14" t="s">
        <v>3638</v>
      </c>
      <c r="D50" s="14" t="s">
        <v>1953</v>
      </c>
      <c r="E50" s="14" t="str">
        <f>"0,5469"</f>
        <v>0,5469</v>
      </c>
      <c r="F50" s="14" t="s">
        <v>594</v>
      </c>
      <c r="G50" s="15" t="s">
        <v>421</v>
      </c>
      <c r="H50" s="15" t="s">
        <v>627</v>
      </c>
      <c r="I50" s="16" t="s">
        <v>1042</v>
      </c>
      <c r="J50" s="17"/>
      <c r="K50" s="40" t="str">
        <f>"245,0"</f>
        <v>245,0</v>
      </c>
      <c r="L50" s="17" t="str">
        <f>"133,9783"</f>
        <v>133,9783</v>
      </c>
      <c r="M50" s="14" t="s">
        <v>3639</v>
      </c>
    </row>
    <row r="51" spans="1:13">
      <c r="A51" s="17" t="s">
        <v>15</v>
      </c>
      <c r="B51" s="14" t="s">
        <v>3640</v>
      </c>
      <c r="C51" s="14" t="s">
        <v>3641</v>
      </c>
      <c r="D51" s="14" t="s">
        <v>786</v>
      </c>
      <c r="E51" s="14" t="str">
        <f>"0,5620"</f>
        <v>0,5620</v>
      </c>
      <c r="F51" s="14" t="s">
        <v>2447</v>
      </c>
      <c r="G51" s="15" t="s">
        <v>420</v>
      </c>
      <c r="H51" s="15" t="s">
        <v>421</v>
      </c>
      <c r="I51" s="15" t="s">
        <v>422</v>
      </c>
      <c r="J51" s="15" t="s">
        <v>490</v>
      </c>
      <c r="K51" s="40" t="str">
        <f>"240,0"</f>
        <v>240,0</v>
      </c>
      <c r="L51" s="17" t="str">
        <f>"154,7211"</f>
        <v>154,7211</v>
      </c>
      <c r="M51" s="14" t="s">
        <v>158</v>
      </c>
    </row>
    <row r="52" spans="1:13">
      <c r="A52" s="20" t="s">
        <v>62</v>
      </c>
      <c r="B52" s="18" t="s">
        <v>3642</v>
      </c>
      <c r="C52" s="18" t="s">
        <v>3643</v>
      </c>
      <c r="D52" s="18" t="s">
        <v>3644</v>
      </c>
      <c r="E52" s="18" t="str">
        <f>"0,5611"</f>
        <v>0,5611</v>
      </c>
      <c r="F52" s="18" t="s">
        <v>2524</v>
      </c>
      <c r="G52" s="19" t="s">
        <v>374</v>
      </c>
      <c r="H52" s="19" t="s">
        <v>420</v>
      </c>
      <c r="I52" s="22" t="s">
        <v>437</v>
      </c>
      <c r="J52" s="20"/>
      <c r="K52" s="38" t="str">
        <f>"220,0"</f>
        <v>220,0</v>
      </c>
      <c r="L52" s="20" t="str">
        <f>"156,5245"</f>
        <v>156,5245</v>
      </c>
      <c r="M52" s="18" t="s">
        <v>158</v>
      </c>
    </row>
    <row r="53" spans="1:13">
      <c r="B53" s="5" t="s">
        <v>40</v>
      </c>
    </row>
    <row r="54" spans="1:13" ht="15.95">
      <c r="A54" s="102" t="s">
        <v>818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1:13">
      <c r="A55" s="13" t="s">
        <v>15</v>
      </c>
      <c r="B55" s="11" t="s">
        <v>825</v>
      </c>
      <c r="C55" s="11" t="s">
        <v>826</v>
      </c>
      <c r="D55" s="11" t="s">
        <v>827</v>
      </c>
      <c r="E55" s="11" t="str">
        <f>"0,5150"</f>
        <v>0,5150</v>
      </c>
      <c r="F55" s="11" t="s">
        <v>828</v>
      </c>
      <c r="G55" s="12" t="s">
        <v>640</v>
      </c>
      <c r="H55" s="21" t="s">
        <v>803</v>
      </c>
      <c r="I55" s="21" t="s">
        <v>803</v>
      </c>
      <c r="J55" s="13"/>
      <c r="K55" s="37" t="str">
        <f>"270,0"</f>
        <v>270,0</v>
      </c>
      <c r="L55" s="13" t="str">
        <f>"139,0473"</f>
        <v>139,0473</v>
      </c>
      <c r="M55" s="11" t="s">
        <v>829</v>
      </c>
    </row>
    <row r="56" spans="1:13">
      <c r="A56" s="17" t="s">
        <v>62</v>
      </c>
      <c r="B56" s="14" t="s">
        <v>2195</v>
      </c>
      <c r="C56" s="14" t="s">
        <v>2196</v>
      </c>
      <c r="D56" s="14" t="s">
        <v>2197</v>
      </c>
      <c r="E56" s="14" t="str">
        <f>"0,5220"</f>
        <v>0,5220</v>
      </c>
      <c r="F56" s="14" t="s">
        <v>66</v>
      </c>
      <c r="G56" s="15" t="s">
        <v>490</v>
      </c>
      <c r="H56" s="16" t="s">
        <v>523</v>
      </c>
      <c r="I56" s="16" t="s">
        <v>3645</v>
      </c>
      <c r="J56" s="17"/>
      <c r="K56" s="40" t="str">
        <f>"250,0"</f>
        <v>250,0</v>
      </c>
      <c r="L56" s="17" t="str">
        <f>"130,4937"</f>
        <v>130,4937</v>
      </c>
      <c r="M56" s="14" t="s">
        <v>2198</v>
      </c>
    </row>
    <row r="57" spans="1:13">
      <c r="A57" s="20" t="s">
        <v>73</v>
      </c>
      <c r="B57" s="18" t="s">
        <v>3646</v>
      </c>
      <c r="C57" s="18" t="s">
        <v>3647</v>
      </c>
      <c r="D57" s="18" t="s">
        <v>3648</v>
      </c>
      <c r="E57" s="18" t="str">
        <f>"0,5213"</f>
        <v>0,5213</v>
      </c>
      <c r="F57" s="18" t="s">
        <v>3649</v>
      </c>
      <c r="G57" s="19" t="s">
        <v>420</v>
      </c>
      <c r="H57" s="19" t="s">
        <v>422</v>
      </c>
      <c r="I57" s="22" t="s">
        <v>645</v>
      </c>
      <c r="J57" s="20"/>
      <c r="K57" s="38" t="str">
        <f>"240,0"</f>
        <v>240,0</v>
      </c>
      <c r="L57" s="20" t="str">
        <f>"125,1060"</f>
        <v>125,1060</v>
      </c>
      <c r="M57" s="18" t="s">
        <v>158</v>
      </c>
    </row>
    <row r="58" spans="1:13">
      <c r="B58" s="5" t="s">
        <v>40</v>
      </c>
    </row>
    <row r="61" spans="1:13" ht="18">
      <c r="B61" s="23" t="s">
        <v>830</v>
      </c>
      <c r="C61" s="23"/>
    </row>
    <row r="62" spans="1:13" ht="15.95">
      <c r="B62" s="95" t="s">
        <v>855</v>
      </c>
      <c r="C62" s="95"/>
    </row>
    <row r="63" spans="1:13" ht="14.1">
      <c r="B63" s="24"/>
      <c r="C63" s="24" t="s">
        <v>832</v>
      </c>
    </row>
    <row r="64" spans="1:13" ht="14.1">
      <c r="B64" s="4" t="s">
        <v>833</v>
      </c>
      <c r="C64" s="4" t="s">
        <v>834</v>
      </c>
      <c r="D64" s="4" t="s">
        <v>835</v>
      </c>
      <c r="E64" s="4" t="s">
        <v>2294</v>
      </c>
      <c r="F64" s="4" t="s">
        <v>3650</v>
      </c>
    </row>
    <row r="65" spans="2:6">
      <c r="B65" s="5" t="s">
        <v>3633</v>
      </c>
      <c r="C65" s="5" t="s">
        <v>832</v>
      </c>
      <c r="D65" s="6" t="s">
        <v>1356</v>
      </c>
      <c r="E65" s="6" t="s">
        <v>822</v>
      </c>
      <c r="F65" s="6" t="s">
        <v>3651</v>
      </c>
    </row>
    <row r="66" spans="2:6">
      <c r="B66" s="5" t="s">
        <v>3601</v>
      </c>
      <c r="C66" s="5" t="s">
        <v>832</v>
      </c>
      <c r="D66" s="6" t="s">
        <v>868</v>
      </c>
      <c r="E66" s="6" t="s">
        <v>459</v>
      </c>
      <c r="F66" s="6" t="s">
        <v>3652</v>
      </c>
    </row>
    <row r="67" spans="2:6">
      <c r="B67" s="5" t="s">
        <v>2576</v>
      </c>
      <c r="C67" s="5" t="s">
        <v>832</v>
      </c>
      <c r="D67" s="6" t="s">
        <v>868</v>
      </c>
      <c r="E67" s="6" t="s">
        <v>421</v>
      </c>
      <c r="F67" s="6" t="s">
        <v>3653</v>
      </c>
    </row>
    <row r="69" spans="2:6" ht="14.1">
      <c r="B69" s="24"/>
      <c r="C69" s="24" t="s">
        <v>847</v>
      </c>
    </row>
    <row r="70" spans="2:6" ht="14.1">
      <c r="B70" s="4" t="s">
        <v>833</v>
      </c>
      <c r="C70" s="4" t="s">
        <v>834</v>
      </c>
      <c r="D70" s="4" t="s">
        <v>3512</v>
      </c>
      <c r="E70" s="4" t="s">
        <v>2294</v>
      </c>
      <c r="F70" s="4" t="s">
        <v>3650</v>
      </c>
    </row>
    <row r="71" spans="2:6">
      <c r="B71" s="5" t="s">
        <v>3618</v>
      </c>
      <c r="C71" s="5" t="s">
        <v>887</v>
      </c>
      <c r="D71" s="6" t="s">
        <v>858</v>
      </c>
      <c r="E71" s="6" t="s">
        <v>351</v>
      </c>
      <c r="F71" s="6" t="s">
        <v>3654</v>
      </c>
    </row>
    <row r="72" spans="2:6">
      <c r="B72" s="5" t="s">
        <v>3611</v>
      </c>
      <c r="C72" s="5" t="s">
        <v>884</v>
      </c>
      <c r="D72" s="6" t="s">
        <v>858</v>
      </c>
      <c r="E72" s="6" t="s">
        <v>682</v>
      </c>
      <c r="F72" s="6" t="s">
        <v>3655</v>
      </c>
    </row>
    <row r="73" spans="2:6">
      <c r="B73" s="5" t="s">
        <v>713</v>
      </c>
      <c r="C73" s="5" t="s">
        <v>884</v>
      </c>
      <c r="D73" s="6" t="s">
        <v>888</v>
      </c>
      <c r="E73" s="6" t="s">
        <v>495</v>
      </c>
      <c r="F73" s="6" t="s">
        <v>3656</v>
      </c>
    </row>
    <row r="74" spans="2:6">
      <c r="B74" s="5" t="s">
        <v>40</v>
      </c>
    </row>
  </sheetData>
  <mergeCells count="19">
    <mergeCell ref="A22:L22"/>
    <mergeCell ref="A32:L32"/>
    <mergeCell ref="A40:L40"/>
    <mergeCell ref="A47:L47"/>
    <mergeCell ref="A54:L54"/>
    <mergeCell ref="A8:L8"/>
    <mergeCell ref="A11:L11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5:L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M78"/>
  <sheetViews>
    <sheetView workbookViewId="0">
      <selection sqref="A1:M2"/>
    </sheetView>
  </sheetViews>
  <sheetFormatPr defaultColWidth="9.140625" defaultRowHeight="12.95"/>
  <cols>
    <col min="1" max="1" width="7.42578125" style="6" bestFit="1" customWidth="1"/>
    <col min="2" max="2" width="23.28515625" style="5" bestFit="1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21.7109375" style="5" bestFit="1" customWidth="1"/>
    <col min="7" max="9" width="5.42578125" style="6" bestFit="1" customWidth="1"/>
    <col min="10" max="10" width="4.85546875" style="6" bestFit="1" customWidth="1"/>
    <col min="11" max="11" width="11.28515625" style="39" bestFit="1" customWidth="1"/>
    <col min="12" max="12" width="8.42578125" style="6" bestFit="1" customWidth="1"/>
    <col min="13" max="13" width="15.7109375" style="5" bestFit="1" customWidth="1"/>
    <col min="14" max="16384" width="9.140625" style="3"/>
  </cols>
  <sheetData>
    <row r="1" spans="1:13" s="2" customFormat="1" ht="29.1" customHeight="1">
      <c r="A1" s="103" t="s">
        <v>3657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3599</v>
      </c>
      <c r="F3" s="114" t="s">
        <v>6</v>
      </c>
      <c r="G3" s="114" t="s">
        <v>8</v>
      </c>
      <c r="H3" s="114"/>
      <c r="I3" s="114"/>
      <c r="J3" s="114"/>
      <c r="K3" s="117" t="s">
        <v>2294</v>
      </c>
      <c r="L3" s="114" t="s">
        <v>11</v>
      </c>
      <c r="M3" s="99" t="s">
        <v>12</v>
      </c>
    </row>
    <row r="4" spans="1:13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118"/>
      <c r="L4" s="113"/>
      <c r="M4" s="100"/>
    </row>
    <row r="5" spans="1:13" ht="15.95">
      <c r="A5" s="101" t="s">
        <v>598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3">
      <c r="A6" s="10" t="s">
        <v>15</v>
      </c>
      <c r="B6" s="7" t="s">
        <v>1612</v>
      </c>
      <c r="C6" s="7" t="s">
        <v>1613</v>
      </c>
      <c r="D6" s="7" t="s">
        <v>2391</v>
      </c>
      <c r="E6" s="7" t="str">
        <f>"0,7720"</f>
        <v>0,7720</v>
      </c>
      <c r="F6" s="7" t="s">
        <v>594</v>
      </c>
      <c r="G6" s="8" t="s">
        <v>70</v>
      </c>
      <c r="H6" s="9" t="s">
        <v>209</v>
      </c>
      <c r="I6" s="10"/>
      <c r="J6" s="10"/>
      <c r="K6" s="41" t="str">
        <f>"120,0"</f>
        <v>120,0</v>
      </c>
      <c r="L6" s="10" t="str">
        <f>"92,6340"</f>
        <v>92,6340</v>
      </c>
      <c r="M6" s="7" t="s">
        <v>1371</v>
      </c>
    </row>
    <row r="7" spans="1:13">
      <c r="B7" s="5" t="s">
        <v>40</v>
      </c>
    </row>
    <row r="8" spans="1:13" ht="15.95">
      <c r="A8" s="102" t="s">
        <v>301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3">
      <c r="A9" s="10" t="s">
        <v>15</v>
      </c>
      <c r="B9" s="7" t="s">
        <v>3100</v>
      </c>
      <c r="C9" s="7" t="s">
        <v>3101</v>
      </c>
      <c r="D9" s="7" t="s">
        <v>390</v>
      </c>
      <c r="E9" s="7" t="str">
        <f>"0,6962"</f>
        <v>0,6962</v>
      </c>
      <c r="F9" s="7" t="s">
        <v>3119</v>
      </c>
      <c r="G9" s="8" t="s">
        <v>490</v>
      </c>
      <c r="H9" s="9" t="s">
        <v>523</v>
      </c>
      <c r="I9" s="9" t="s">
        <v>523</v>
      </c>
      <c r="J9" s="10"/>
      <c r="K9" s="41" t="str">
        <f>"250,0"</f>
        <v>250,0</v>
      </c>
      <c r="L9" s="10" t="str">
        <f>"174,0375"</f>
        <v>174,0375</v>
      </c>
      <c r="M9" s="7" t="s">
        <v>3103</v>
      </c>
    </row>
    <row r="10" spans="1:13">
      <c r="B10" s="5" t="s">
        <v>40</v>
      </c>
    </row>
    <row r="11" spans="1:13" ht="15.95">
      <c r="A11" s="102" t="s">
        <v>334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3">
      <c r="A12" s="13" t="s">
        <v>15</v>
      </c>
      <c r="B12" s="11" t="s">
        <v>3138</v>
      </c>
      <c r="C12" s="11" t="s">
        <v>3139</v>
      </c>
      <c r="D12" s="11" t="s">
        <v>590</v>
      </c>
      <c r="E12" s="11" t="str">
        <f>"0,6471"</f>
        <v>0,6471</v>
      </c>
      <c r="F12" s="11" t="s">
        <v>1238</v>
      </c>
      <c r="G12" s="12" t="s">
        <v>422</v>
      </c>
      <c r="H12" s="12" t="s">
        <v>523</v>
      </c>
      <c r="I12" s="12" t="s">
        <v>738</v>
      </c>
      <c r="J12" s="13"/>
      <c r="K12" s="37" t="str">
        <f>"280,0"</f>
        <v>280,0</v>
      </c>
      <c r="L12" s="13" t="str">
        <f>"181,2020"</f>
        <v>181,2020</v>
      </c>
      <c r="M12" s="11" t="s">
        <v>158</v>
      </c>
    </row>
    <row r="13" spans="1:13">
      <c r="A13" s="17" t="s">
        <v>62</v>
      </c>
      <c r="B13" s="14" t="s">
        <v>3658</v>
      </c>
      <c r="C13" s="14" t="s">
        <v>3659</v>
      </c>
      <c r="D13" s="14" t="s">
        <v>488</v>
      </c>
      <c r="E13" s="14" t="str">
        <f>"0,6583"</f>
        <v>0,6583</v>
      </c>
      <c r="F13" s="14" t="s">
        <v>364</v>
      </c>
      <c r="G13" s="15" t="s">
        <v>421</v>
      </c>
      <c r="H13" s="15" t="s">
        <v>422</v>
      </c>
      <c r="I13" s="15" t="s">
        <v>490</v>
      </c>
      <c r="J13" s="17"/>
      <c r="K13" s="40" t="str">
        <f>"250,0"</f>
        <v>250,0</v>
      </c>
      <c r="L13" s="17" t="str">
        <f>"164,5875"</f>
        <v>164,5875</v>
      </c>
      <c r="M13" s="14" t="s">
        <v>158</v>
      </c>
    </row>
    <row r="14" spans="1:13">
      <c r="A14" s="17" t="s">
        <v>73</v>
      </c>
      <c r="B14" s="14" t="s">
        <v>2235</v>
      </c>
      <c r="C14" s="14" t="s">
        <v>2236</v>
      </c>
      <c r="D14" s="14" t="s">
        <v>468</v>
      </c>
      <c r="E14" s="14" t="str">
        <f>"0,6492"</f>
        <v>0,6492</v>
      </c>
      <c r="F14" s="14" t="s">
        <v>1238</v>
      </c>
      <c r="G14" s="15" t="s">
        <v>421</v>
      </c>
      <c r="H14" s="15" t="s">
        <v>422</v>
      </c>
      <c r="I14" s="15" t="s">
        <v>627</v>
      </c>
      <c r="J14" s="17"/>
      <c r="K14" s="40" t="str">
        <f>"245,0"</f>
        <v>245,0</v>
      </c>
      <c r="L14" s="17" t="str">
        <f>"159,0662"</f>
        <v>159,0662</v>
      </c>
      <c r="M14" s="14" t="s">
        <v>158</v>
      </c>
    </row>
    <row r="15" spans="1:13">
      <c r="A15" s="17" t="s">
        <v>75</v>
      </c>
      <c r="B15" s="14" t="s">
        <v>3660</v>
      </c>
      <c r="C15" s="14" t="s">
        <v>3661</v>
      </c>
      <c r="D15" s="14" t="s">
        <v>590</v>
      </c>
      <c r="E15" s="14" t="str">
        <f>"0,6471"</f>
        <v>0,6471</v>
      </c>
      <c r="F15" s="14" t="s">
        <v>3662</v>
      </c>
      <c r="G15" s="15" t="s">
        <v>436</v>
      </c>
      <c r="H15" s="15" t="s">
        <v>442</v>
      </c>
      <c r="I15" s="15" t="s">
        <v>421</v>
      </c>
      <c r="J15" s="17"/>
      <c r="K15" s="40" t="str">
        <f>"230,0"</f>
        <v>230,0</v>
      </c>
      <c r="L15" s="17" t="str">
        <f>"148,8445"</f>
        <v>148,8445</v>
      </c>
      <c r="M15" s="14" t="s">
        <v>158</v>
      </c>
    </row>
    <row r="16" spans="1:13">
      <c r="A16" s="17" t="s">
        <v>15</v>
      </c>
      <c r="B16" s="14" t="s">
        <v>3663</v>
      </c>
      <c r="C16" s="14" t="s">
        <v>3664</v>
      </c>
      <c r="D16" s="14" t="s">
        <v>536</v>
      </c>
      <c r="E16" s="14" t="str">
        <f>"0,6467"</f>
        <v>0,6467</v>
      </c>
      <c r="F16" s="14" t="s">
        <v>91</v>
      </c>
      <c r="G16" s="15" t="s">
        <v>398</v>
      </c>
      <c r="H16" s="15" t="s">
        <v>453</v>
      </c>
      <c r="I16" s="16" t="s">
        <v>454</v>
      </c>
      <c r="J16" s="17"/>
      <c r="K16" s="40" t="str">
        <f>"187,5"</f>
        <v>187,5</v>
      </c>
      <c r="L16" s="17" t="str">
        <f>"121,2469"</f>
        <v>121,2469</v>
      </c>
      <c r="M16" s="14" t="s">
        <v>2305</v>
      </c>
    </row>
    <row r="17" spans="1:13">
      <c r="A17" s="20" t="s">
        <v>15</v>
      </c>
      <c r="B17" s="18" t="s">
        <v>1687</v>
      </c>
      <c r="C17" s="18" t="s">
        <v>1688</v>
      </c>
      <c r="D17" s="18" t="s">
        <v>575</v>
      </c>
      <c r="E17" s="18" t="str">
        <f>"0,6451"</f>
        <v>0,6451</v>
      </c>
      <c r="F17" s="18" t="s">
        <v>594</v>
      </c>
      <c r="G17" s="19" t="s">
        <v>368</v>
      </c>
      <c r="H17" s="22" t="s">
        <v>374</v>
      </c>
      <c r="I17" s="22" t="s">
        <v>455</v>
      </c>
      <c r="J17" s="20"/>
      <c r="K17" s="38" t="str">
        <f>"185,0"</f>
        <v>185,0</v>
      </c>
      <c r="L17" s="20" t="str">
        <f>"141,3027"</f>
        <v>141,3027</v>
      </c>
      <c r="M17" s="18" t="s">
        <v>158</v>
      </c>
    </row>
    <row r="18" spans="1:13">
      <c r="B18" s="5" t="s">
        <v>40</v>
      </c>
    </row>
    <row r="19" spans="1:13" ht="15.95">
      <c r="A19" s="102" t="s">
        <v>598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</row>
    <row r="20" spans="1:13">
      <c r="A20" s="13" t="s">
        <v>15</v>
      </c>
      <c r="B20" s="11" t="s">
        <v>3665</v>
      </c>
      <c r="C20" s="11" t="s">
        <v>3666</v>
      </c>
      <c r="D20" s="11" t="s">
        <v>625</v>
      </c>
      <c r="E20" s="11" t="str">
        <f>"0,6137"</f>
        <v>0,6137</v>
      </c>
      <c r="F20" s="11" t="s">
        <v>222</v>
      </c>
      <c r="G20" s="12" t="s">
        <v>529</v>
      </c>
      <c r="H20" s="12" t="s">
        <v>491</v>
      </c>
      <c r="I20" s="21" t="s">
        <v>744</v>
      </c>
      <c r="J20" s="13"/>
      <c r="K20" s="37" t="str">
        <f>"265,0"</f>
        <v>265,0</v>
      </c>
      <c r="L20" s="13" t="str">
        <f>"162,6437"</f>
        <v>162,6437</v>
      </c>
      <c r="M20" s="11" t="s">
        <v>3667</v>
      </c>
    </row>
    <row r="21" spans="1:13">
      <c r="A21" s="17" t="s">
        <v>62</v>
      </c>
      <c r="B21" s="14" t="s">
        <v>3668</v>
      </c>
      <c r="C21" s="14" t="s">
        <v>3669</v>
      </c>
      <c r="D21" s="14" t="s">
        <v>1492</v>
      </c>
      <c r="E21" s="14" t="str">
        <f>"0,6141"</f>
        <v>0,6141</v>
      </c>
      <c r="F21" s="14" t="s">
        <v>522</v>
      </c>
      <c r="G21" s="15" t="s">
        <v>422</v>
      </c>
      <c r="H21" s="16" t="s">
        <v>490</v>
      </c>
      <c r="I21" s="15" t="s">
        <v>490</v>
      </c>
      <c r="J21" s="17"/>
      <c r="K21" s="40" t="str">
        <f>"250,0"</f>
        <v>250,0</v>
      </c>
      <c r="L21" s="17" t="str">
        <f>"153,5375"</f>
        <v>153,5375</v>
      </c>
      <c r="M21" s="14" t="s">
        <v>158</v>
      </c>
    </row>
    <row r="22" spans="1:13">
      <c r="A22" s="17" t="s">
        <v>73</v>
      </c>
      <c r="B22" s="14" t="s">
        <v>3670</v>
      </c>
      <c r="C22" s="14" t="s">
        <v>3671</v>
      </c>
      <c r="D22" s="14" t="s">
        <v>1499</v>
      </c>
      <c r="E22" s="14" t="str">
        <f>"0,6247"</f>
        <v>0,6247</v>
      </c>
      <c r="F22" s="14" t="s">
        <v>3672</v>
      </c>
      <c r="G22" s="15" t="s">
        <v>420</v>
      </c>
      <c r="H22" s="16" t="s">
        <v>422</v>
      </c>
      <c r="I22" s="15" t="s">
        <v>422</v>
      </c>
      <c r="J22" s="17"/>
      <c r="K22" s="40" t="str">
        <f>"240,0"</f>
        <v>240,0</v>
      </c>
      <c r="L22" s="17" t="str">
        <f>"149,9160"</f>
        <v>149,9160</v>
      </c>
      <c r="M22" s="14" t="s">
        <v>158</v>
      </c>
    </row>
    <row r="23" spans="1:13">
      <c r="A23" s="20" t="s">
        <v>75</v>
      </c>
      <c r="B23" s="18" t="s">
        <v>3673</v>
      </c>
      <c r="C23" s="18" t="s">
        <v>3674</v>
      </c>
      <c r="D23" s="18" t="s">
        <v>1066</v>
      </c>
      <c r="E23" s="18" t="str">
        <f>"0,6209"</f>
        <v>0,6209</v>
      </c>
      <c r="F23" s="18" t="s">
        <v>134</v>
      </c>
      <c r="G23" s="19" t="s">
        <v>374</v>
      </c>
      <c r="H23" s="22" t="s">
        <v>436</v>
      </c>
      <c r="I23" s="22" t="s">
        <v>385</v>
      </c>
      <c r="J23" s="20"/>
      <c r="K23" s="38" t="str">
        <f>"200,0"</f>
        <v>200,0</v>
      </c>
      <c r="L23" s="20" t="str">
        <f>"124,1800"</f>
        <v>124,1800</v>
      </c>
      <c r="M23" s="18" t="s">
        <v>2258</v>
      </c>
    </row>
    <row r="24" spans="1:13">
      <c r="B24" s="5" t="s">
        <v>40</v>
      </c>
    </row>
    <row r="25" spans="1:13" ht="15.95">
      <c r="A25" s="102" t="s">
        <v>670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</row>
    <row r="26" spans="1:13">
      <c r="A26" s="13" t="s">
        <v>15</v>
      </c>
      <c r="B26" s="11" t="s">
        <v>3301</v>
      </c>
      <c r="C26" s="11" t="s">
        <v>3675</v>
      </c>
      <c r="D26" s="11" t="s">
        <v>681</v>
      </c>
      <c r="E26" s="11" t="str">
        <f>"0,5821"</f>
        <v>0,5821</v>
      </c>
      <c r="F26" s="11" t="s">
        <v>1238</v>
      </c>
      <c r="G26" s="12" t="s">
        <v>491</v>
      </c>
      <c r="H26" s="12" t="s">
        <v>754</v>
      </c>
      <c r="I26" s="21" t="s">
        <v>822</v>
      </c>
      <c r="J26" s="13"/>
      <c r="K26" s="37" t="str">
        <f>"275,0"</f>
        <v>275,0</v>
      </c>
      <c r="L26" s="13" t="str">
        <f>"160,0638"</f>
        <v>160,0638</v>
      </c>
      <c r="M26" s="11" t="s">
        <v>158</v>
      </c>
    </row>
    <row r="27" spans="1:13">
      <c r="A27" s="17" t="s">
        <v>62</v>
      </c>
      <c r="B27" s="14" t="s">
        <v>3676</v>
      </c>
      <c r="C27" s="14" t="s">
        <v>3677</v>
      </c>
      <c r="D27" s="14" t="s">
        <v>3282</v>
      </c>
      <c r="E27" s="14" t="str">
        <f>"0,5835"</f>
        <v>0,5835</v>
      </c>
      <c r="F27" s="14" t="s">
        <v>3134</v>
      </c>
      <c r="G27" s="15" t="s">
        <v>422</v>
      </c>
      <c r="H27" s="15" t="s">
        <v>523</v>
      </c>
      <c r="I27" s="15" t="s">
        <v>491</v>
      </c>
      <c r="J27" s="17"/>
      <c r="K27" s="40" t="str">
        <f>"265,0"</f>
        <v>265,0</v>
      </c>
      <c r="L27" s="17" t="str">
        <f>"154,6407"</f>
        <v>154,6407</v>
      </c>
      <c r="M27" s="14" t="s">
        <v>158</v>
      </c>
    </row>
    <row r="28" spans="1:13">
      <c r="A28" s="17" t="s">
        <v>73</v>
      </c>
      <c r="B28" s="14" t="s">
        <v>3678</v>
      </c>
      <c r="C28" s="14" t="s">
        <v>3679</v>
      </c>
      <c r="D28" s="14" t="s">
        <v>3680</v>
      </c>
      <c r="E28" s="14" t="str">
        <f>"0,5880"</f>
        <v>0,5880</v>
      </c>
      <c r="F28" s="14" t="s">
        <v>2128</v>
      </c>
      <c r="G28" s="15" t="s">
        <v>523</v>
      </c>
      <c r="H28" s="16" t="s">
        <v>744</v>
      </c>
      <c r="I28" s="16" t="s">
        <v>744</v>
      </c>
      <c r="J28" s="17"/>
      <c r="K28" s="40" t="str">
        <f>"260,0"</f>
        <v>260,0</v>
      </c>
      <c r="L28" s="17" t="str">
        <f>"152,8800"</f>
        <v>152,8800</v>
      </c>
      <c r="M28" s="14" t="s">
        <v>158</v>
      </c>
    </row>
    <row r="29" spans="1:13">
      <c r="A29" s="17" t="s">
        <v>75</v>
      </c>
      <c r="B29" s="14" t="s">
        <v>3681</v>
      </c>
      <c r="C29" s="14" t="s">
        <v>3682</v>
      </c>
      <c r="D29" s="14" t="s">
        <v>2146</v>
      </c>
      <c r="E29" s="14" t="str">
        <f>"0,5828"</f>
        <v>0,5828</v>
      </c>
      <c r="F29" s="14" t="s">
        <v>3165</v>
      </c>
      <c r="G29" s="15" t="s">
        <v>422</v>
      </c>
      <c r="H29" s="15" t="s">
        <v>490</v>
      </c>
      <c r="I29" s="16" t="s">
        <v>491</v>
      </c>
      <c r="J29" s="17"/>
      <c r="K29" s="40" t="str">
        <f>"250,0"</f>
        <v>250,0</v>
      </c>
      <c r="L29" s="17" t="str">
        <f>"145,7000"</f>
        <v>145,7000</v>
      </c>
      <c r="M29" s="14" t="s">
        <v>3683</v>
      </c>
    </row>
    <row r="30" spans="1:13">
      <c r="A30" s="17" t="s">
        <v>87</v>
      </c>
      <c r="B30" s="14" t="s">
        <v>3684</v>
      </c>
      <c r="C30" s="14" t="s">
        <v>3685</v>
      </c>
      <c r="D30" s="14" t="s">
        <v>3282</v>
      </c>
      <c r="E30" s="14" t="str">
        <f>"0,5835"</f>
        <v>0,5835</v>
      </c>
      <c r="F30" s="14" t="s">
        <v>176</v>
      </c>
      <c r="G30" s="16" t="s">
        <v>442</v>
      </c>
      <c r="H30" s="15" t="s">
        <v>442</v>
      </c>
      <c r="I30" s="16" t="s">
        <v>459</v>
      </c>
      <c r="J30" s="17"/>
      <c r="K30" s="40" t="str">
        <f>"225,0"</f>
        <v>225,0</v>
      </c>
      <c r="L30" s="17" t="str">
        <f>"131,2987"</f>
        <v>131,2987</v>
      </c>
      <c r="M30" s="14" t="s">
        <v>3686</v>
      </c>
    </row>
    <row r="31" spans="1:13">
      <c r="A31" s="17" t="s">
        <v>92</v>
      </c>
      <c r="B31" s="14" t="s">
        <v>1103</v>
      </c>
      <c r="C31" s="14" t="s">
        <v>1104</v>
      </c>
      <c r="D31" s="14" t="s">
        <v>3687</v>
      </c>
      <c r="E31" s="14" t="str">
        <f>"0,6036"</f>
        <v>0,6036</v>
      </c>
      <c r="F31" s="14" t="s">
        <v>1105</v>
      </c>
      <c r="G31" s="16" t="s">
        <v>523</v>
      </c>
      <c r="H31" s="16" t="s">
        <v>744</v>
      </c>
      <c r="I31" s="16" t="s">
        <v>744</v>
      </c>
      <c r="J31" s="17"/>
      <c r="K31" s="40">
        <v>0</v>
      </c>
      <c r="L31" s="17" t="str">
        <f>"0,0000"</f>
        <v>0,0000</v>
      </c>
      <c r="M31" s="14" t="s">
        <v>158</v>
      </c>
    </row>
    <row r="32" spans="1:13">
      <c r="A32" s="17" t="s">
        <v>92</v>
      </c>
      <c r="B32" s="14" t="s">
        <v>3688</v>
      </c>
      <c r="C32" s="14" t="s">
        <v>3689</v>
      </c>
      <c r="D32" s="14" t="s">
        <v>1147</v>
      </c>
      <c r="E32" s="14" t="str">
        <f>"0,5846"</f>
        <v>0,5846</v>
      </c>
      <c r="F32" s="14" t="s">
        <v>278</v>
      </c>
      <c r="G32" s="16" t="s">
        <v>682</v>
      </c>
      <c r="H32" s="16" t="s">
        <v>682</v>
      </c>
      <c r="I32" s="16" t="s">
        <v>682</v>
      </c>
      <c r="J32" s="17"/>
      <c r="K32" s="40">
        <v>0</v>
      </c>
      <c r="L32" s="17" t="str">
        <f>"0,0000"</f>
        <v>0,0000</v>
      </c>
      <c r="M32" s="14" t="s">
        <v>158</v>
      </c>
    </row>
    <row r="33" spans="1:13">
      <c r="A33" s="17" t="s">
        <v>15</v>
      </c>
      <c r="B33" s="14" t="s">
        <v>3301</v>
      </c>
      <c r="C33" s="14" t="s">
        <v>3302</v>
      </c>
      <c r="D33" s="14" t="s">
        <v>681</v>
      </c>
      <c r="E33" s="14" t="str">
        <f>"0,5821"</f>
        <v>0,5821</v>
      </c>
      <c r="F33" s="14" t="s">
        <v>1238</v>
      </c>
      <c r="G33" s="15" t="s">
        <v>491</v>
      </c>
      <c r="H33" s="15" t="s">
        <v>754</v>
      </c>
      <c r="I33" s="16" t="s">
        <v>822</v>
      </c>
      <c r="J33" s="17"/>
      <c r="K33" s="40" t="str">
        <f>"275,0"</f>
        <v>275,0</v>
      </c>
      <c r="L33" s="17" t="str">
        <f>"173,1890"</f>
        <v>173,1890</v>
      </c>
      <c r="M33" s="14" t="s">
        <v>158</v>
      </c>
    </row>
    <row r="34" spans="1:13">
      <c r="A34" s="17" t="s">
        <v>62</v>
      </c>
      <c r="B34" s="14" t="s">
        <v>3283</v>
      </c>
      <c r="C34" s="14" t="s">
        <v>3284</v>
      </c>
      <c r="D34" s="14" t="s">
        <v>719</v>
      </c>
      <c r="E34" s="14" t="str">
        <f>"0,5878"</f>
        <v>0,5878</v>
      </c>
      <c r="F34" s="14" t="s">
        <v>594</v>
      </c>
      <c r="G34" s="15" t="s">
        <v>422</v>
      </c>
      <c r="H34" s="15" t="s">
        <v>529</v>
      </c>
      <c r="I34" s="16" t="s">
        <v>744</v>
      </c>
      <c r="J34" s="17"/>
      <c r="K34" s="40" t="str">
        <f>"255,0"</f>
        <v>255,0</v>
      </c>
      <c r="L34" s="17" t="str">
        <f>"158,1194"</f>
        <v>158,1194</v>
      </c>
      <c r="M34" s="14" t="s">
        <v>158</v>
      </c>
    </row>
    <row r="35" spans="1:13">
      <c r="A35" s="17" t="s">
        <v>15</v>
      </c>
      <c r="B35" s="14" t="s">
        <v>3310</v>
      </c>
      <c r="C35" s="14" t="s">
        <v>3311</v>
      </c>
      <c r="D35" s="14" t="s">
        <v>3690</v>
      </c>
      <c r="E35" s="14" t="str">
        <f>"0,6029"</f>
        <v>0,6029</v>
      </c>
      <c r="F35" s="14" t="s">
        <v>3313</v>
      </c>
      <c r="G35" s="15" t="s">
        <v>384</v>
      </c>
      <c r="H35" s="16" t="s">
        <v>420</v>
      </c>
      <c r="I35" s="17"/>
      <c r="J35" s="17"/>
      <c r="K35" s="40" t="str">
        <f>"210,0"</f>
        <v>210,0</v>
      </c>
      <c r="L35" s="17" t="str">
        <f>"145,2326"</f>
        <v>145,2326</v>
      </c>
      <c r="M35" s="14" t="s">
        <v>158</v>
      </c>
    </row>
    <row r="36" spans="1:13">
      <c r="A36" s="20" t="s">
        <v>62</v>
      </c>
      <c r="B36" s="18" t="s">
        <v>3691</v>
      </c>
      <c r="C36" s="18" t="s">
        <v>3692</v>
      </c>
      <c r="D36" s="18" t="s">
        <v>2146</v>
      </c>
      <c r="E36" s="18" t="str">
        <f>"0,5828"</f>
        <v>0,5828</v>
      </c>
      <c r="F36" s="18" t="s">
        <v>2090</v>
      </c>
      <c r="G36" s="19" t="s">
        <v>374</v>
      </c>
      <c r="H36" s="22" t="s">
        <v>495</v>
      </c>
      <c r="I36" s="22" t="s">
        <v>495</v>
      </c>
      <c r="J36" s="20"/>
      <c r="K36" s="38" t="str">
        <f>"200,0"</f>
        <v>200,0</v>
      </c>
      <c r="L36" s="20" t="str">
        <f>"131,7128"</f>
        <v>131,7128</v>
      </c>
      <c r="M36" s="18" t="s">
        <v>2830</v>
      </c>
    </row>
    <row r="37" spans="1:13">
      <c r="B37" s="5" t="s">
        <v>40</v>
      </c>
    </row>
    <row r="38" spans="1:13" ht="15.95">
      <c r="A38" s="102" t="s">
        <v>724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3">
      <c r="A39" s="13" t="s">
        <v>15</v>
      </c>
      <c r="B39" s="11" t="s">
        <v>3354</v>
      </c>
      <c r="C39" s="11" t="s">
        <v>3355</v>
      </c>
      <c r="D39" s="11" t="s">
        <v>3356</v>
      </c>
      <c r="E39" s="11" t="str">
        <f>"0,5661"</f>
        <v>0,5661</v>
      </c>
      <c r="F39" s="11" t="s">
        <v>2315</v>
      </c>
      <c r="G39" s="12" t="s">
        <v>640</v>
      </c>
      <c r="H39" s="12" t="s">
        <v>745</v>
      </c>
      <c r="I39" s="21" t="s">
        <v>804</v>
      </c>
      <c r="J39" s="13"/>
      <c r="K39" s="37" t="str">
        <f>"285,0"</f>
        <v>285,0</v>
      </c>
      <c r="L39" s="13" t="str">
        <f>"161,3385"</f>
        <v>161,3385</v>
      </c>
      <c r="M39" s="11" t="s">
        <v>2316</v>
      </c>
    </row>
    <row r="40" spans="1:13">
      <c r="A40" s="17" t="s">
        <v>62</v>
      </c>
      <c r="B40" s="14" t="s">
        <v>3693</v>
      </c>
      <c r="C40" s="14" t="s">
        <v>3694</v>
      </c>
      <c r="D40" s="14" t="s">
        <v>1249</v>
      </c>
      <c r="E40" s="14" t="str">
        <f>"0,5640"</f>
        <v>0,5640</v>
      </c>
      <c r="F40" s="14" t="s">
        <v>364</v>
      </c>
      <c r="G40" s="15" t="s">
        <v>422</v>
      </c>
      <c r="H40" s="15" t="s">
        <v>490</v>
      </c>
      <c r="I40" s="16" t="s">
        <v>523</v>
      </c>
      <c r="J40" s="17"/>
      <c r="K40" s="40" t="str">
        <f>"250,0"</f>
        <v>250,0</v>
      </c>
      <c r="L40" s="17" t="str">
        <f>"140,9875"</f>
        <v>140,9875</v>
      </c>
      <c r="M40" s="14" t="s">
        <v>3695</v>
      </c>
    </row>
    <row r="41" spans="1:13">
      <c r="A41" s="17" t="s">
        <v>73</v>
      </c>
      <c r="B41" s="14" t="s">
        <v>774</v>
      </c>
      <c r="C41" s="14" t="s">
        <v>3627</v>
      </c>
      <c r="D41" s="14" t="s">
        <v>776</v>
      </c>
      <c r="E41" s="14" t="str">
        <f>"0,5647"</f>
        <v>0,5647</v>
      </c>
      <c r="F41" s="14" t="s">
        <v>602</v>
      </c>
      <c r="G41" s="15" t="s">
        <v>421</v>
      </c>
      <c r="H41" s="16" t="s">
        <v>627</v>
      </c>
      <c r="I41" s="15" t="s">
        <v>627</v>
      </c>
      <c r="J41" s="17"/>
      <c r="K41" s="40" t="str">
        <f>"245,0"</f>
        <v>245,0</v>
      </c>
      <c r="L41" s="17" t="str">
        <f>"138,3515"</f>
        <v>138,3515</v>
      </c>
      <c r="M41" s="14" t="s">
        <v>158</v>
      </c>
    </row>
    <row r="42" spans="1:13">
      <c r="A42" s="17" t="s">
        <v>75</v>
      </c>
      <c r="B42" s="14" t="s">
        <v>3696</v>
      </c>
      <c r="C42" s="14" t="s">
        <v>3697</v>
      </c>
      <c r="D42" s="14" t="s">
        <v>1232</v>
      </c>
      <c r="E42" s="14" t="str">
        <f>"0,5644"</f>
        <v>0,5644</v>
      </c>
      <c r="F42" s="14" t="s">
        <v>1651</v>
      </c>
      <c r="G42" s="15" t="s">
        <v>374</v>
      </c>
      <c r="H42" s="15" t="s">
        <v>421</v>
      </c>
      <c r="I42" s="16" t="s">
        <v>645</v>
      </c>
      <c r="J42" s="17"/>
      <c r="K42" s="40" t="str">
        <f>"230,0"</f>
        <v>230,0</v>
      </c>
      <c r="L42" s="17" t="str">
        <f>"129,8120"</f>
        <v>129,8120</v>
      </c>
      <c r="M42" s="14" t="s">
        <v>158</v>
      </c>
    </row>
    <row r="43" spans="1:13">
      <c r="A43" s="17" t="s">
        <v>15</v>
      </c>
      <c r="B43" s="14" t="s">
        <v>3693</v>
      </c>
      <c r="C43" s="14" t="s">
        <v>3698</v>
      </c>
      <c r="D43" s="14" t="s">
        <v>1249</v>
      </c>
      <c r="E43" s="14" t="str">
        <f>"0,5640"</f>
        <v>0,5640</v>
      </c>
      <c r="F43" s="14" t="s">
        <v>364</v>
      </c>
      <c r="G43" s="15" t="s">
        <v>422</v>
      </c>
      <c r="H43" s="15" t="s">
        <v>490</v>
      </c>
      <c r="I43" s="16" t="s">
        <v>523</v>
      </c>
      <c r="J43" s="17"/>
      <c r="K43" s="40" t="str">
        <f>"250,0"</f>
        <v>250,0</v>
      </c>
      <c r="L43" s="17" t="str">
        <f>"148,7418"</f>
        <v>148,7418</v>
      </c>
      <c r="M43" s="14" t="s">
        <v>3695</v>
      </c>
    </row>
    <row r="44" spans="1:13">
      <c r="A44" s="17" t="s">
        <v>62</v>
      </c>
      <c r="B44" s="14" t="s">
        <v>774</v>
      </c>
      <c r="C44" s="14" t="s">
        <v>775</v>
      </c>
      <c r="D44" s="14" t="s">
        <v>776</v>
      </c>
      <c r="E44" s="14" t="str">
        <f>"0,5647"</f>
        <v>0,5647</v>
      </c>
      <c r="F44" s="14" t="s">
        <v>602</v>
      </c>
      <c r="G44" s="15" t="s">
        <v>421</v>
      </c>
      <c r="H44" s="16" t="s">
        <v>627</v>
      </c>
      <c r="I44" s="15" t="s">
        <v>627</v>
      </c>
      <c r="J44" s="17"/>
      <c r="K44" s="40" t="str">
        <f>"245,0"</f>
        <v>245,0</v>
      </c>
      <c r="L44" s="17" t="str">
        <f>"144,3006"</f>
        <v>144,3006</v>
      </c>
      <c r="M44" s="14" t="s">
        <v>158</v>
      </c>
    </row>
    <row r="45" spans="1:13">
      <c r="A45" s="17" t="s">
        <v>73</v>
      </c>
      <c r="B45" s="14" t="s">
        <v>3399</v>
      </c>
      <c r="C45" s="14" t="s">
        <v>3400</v>
      </c>
      <c r="D45" s="14" t="s">
        <v>2884</v>
      </c>
      <c r="E45" s="14" t="str">
        <f>"0,5759"</f>
        <v>0,5759</v>
      </c>
      <c r="F45" s="14" t="s">
        <v>1238</v>
      </c>
      <c r="G45" s="16" t="s">
        <v>420</v>
      </c>
      <c r="H45" s="16" t="s">
        <v>421</v>
      </c>
      <c r="I45" s="15" t="s">
        <v>421</v>
      </c>
      <c r="J45" s="17"/>
      <c r="K45" s="40" t="str">
        <f>"230,0"</f>
        <v>230,0</v>
      </c>
      <c r="L45" s="17" t="str">
        <f>"139,7300"</f>
        <v>139,7300</v>
      </c>
      <c r="M45" s="14" t="s">
        <v>158</v>
      </c>
    </row>
    <row r="46" spans="1:13">
      <c r="A46" s="17" t="s">
        <v>15</v>
      </c>
      <c r="B46" s="14" t="s">
        <v>3417</v>
      </c>
      <c r="C46" s="14" t="s">
        <v>3418</v>
      </c>
      <c r="D46" s="14" t="s">
        <v>3356</v>
      </c>
      <c r="E46" s="14" t="str">
        <f>"0,5661"</f>
        <v>0,5661</v>
      </c>
      <c r="F46" s="14" t="s">
        <v>3313</v>
      </c>
      <c r="G46" s="16" t="s">
        <v>420</v>
      </c>
      <c r="H46" s="15" t="s">
        <v>420</v>
      </c>
      <c r="I46" s="17"/>
      <c r="J46" s="17"/>
      <c r="K46" s="40" t="str">
        <f>"220,0"</f>
        <v>220,0</v>
      </c>
      <c r="L46" s="17" t="str">
        <f>"145,0914"</f>
        <v>145,0914</v>
      </c>
      <c r="M46" s="14" t="s">
        <v>158</v>
      </c>
    </row>
    <row r="47" spans="1:13">
      <c r="A47" s="20" t="s">
        <v>15</v>
      </c>
      <c r="B47" s="18" t="s">
        <v>3699</v>
      </c>
      <c r="C47" s="18" t="s">
        <v>3700</v>
      </c>
      <c r="D47" s="18" t="s">
        <v>2180</v>
      </c>
      <c r="E47" s="18" t="str">
        <f>"0,5735"</f>
        <v>0,5735</v>
      </c>
      <c r="F47" s="18" t="s">
        <v>1522</v>
      </c>
      <c r="G47" s="22" t="s">
        <v>80</v>
      </c>
      <c r="H47" s="22" t="s">
        <v>80</v>
      </c>
      <c r="I47" s="19" t="s">
        <v>81</v>
      </c>
      <c r="J47" s="20"/>
      <c r="K47" s="38" t="str">
        <f>"80,0"</f>
        <v>80,0</v>
      </c>
      <c r="L47" s="20" t="str">
        <f>"88,0055"</f>
        <v>88,0055</v>
      </c>
      <c r="M47" s="18" t="s">
        <v>158</v>
      </c>
    </row>
    <row r="48" spans="1:13">
      <c r="B48" s="5" t="s">
        <v>40</v>
      </c>
    </row>
    <row r="49" spans="1:13" ht="15.95">
      <c r="A49" s="102" t="s">
        <v>783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1:13">
      <c r="A50" s="13" t="s">
        <v>15</v>
      </c>
      <c r="B50" s="11" t="s">
        <v>3430</v>
      </c>
      <c r="C50" s="11" t="s">
        <v>3431</v>
      </c>
      <c r="D50" s="11" t="s">
        <v>3432</v>
      </c>
      <c r="E50" s="11" t="str">
        <f>"0,5526"</f>
        <v>0,5526</v>
      </c>
      <c r="F50" s="11" t="s">
        <v>1238</v>
      </c>
      <c r="G50" s="21" t="s">
        <v>151</v>
      </c>
      <c r="H50" s="12" t="s">
        <v>151</v>
      </c>
      <c r="I50" s="12" t="s">
        <v>248</v>
      </c>
      <c r="J50" s="13"/>
      <c r="K50" s="37" t="str">
        <f>"170,0"</f>
        <v>170,0</v>
      </c>
      <c r="L50" s="13" t="str">
        <f>"93,9420"</f>
        <v>93,9420</v>
      </c>
      <c r="M50" s="11" t="s">
        <v>3433</v>
      </c>
    </row>
    <row r="51" spans="1:13">
      <c r="A51" s="17" t="s">
        <v>15</v>
      </c>
      <c r="B51" s="14" t="s">
        <v>3633</v>
      </c>
      <c r="C51" s="14" t="s">
        <v>3634</v>
      </c>
      <c r="D51" s="14" t="s">
        <v>3429</v>
      </c>
      <c r="E51" s="14" t="str">
        <f>"0,5507"</f>
        <v>0,5507</v>
      </c>
      <c r="F51" s="14" t="s">
        <v>3635</v>
      </c>
      <c r="G51" s="15" t="s">
        <v>738</v>
      </c>
      <c r="H51" s="15" t="s">
        <v>822</v>
      </c>
      <c r="I51" s="16" t="s">
        <v>804</v>
      </c>
      <c r="J51" s="17"/>
      <c r="K51" s="40" t="str">
        <f>"290,0"</f>
        <v>290,0</v>
      </c>
      <c r="L51" s="17" t="str">
        <f>"159,6885"</f>
        <v>159,6885</v>
      </c>
      <c r="M51" s="14" t="s">
        <v>3636</v>
      </c>
    </row>
    <row r="52" spans="1:13">
      <c r="A52" s="17" t="s">
        <v>62</v>
      </c>
      <c r="B52" s="14" t="s">
        <v>1311</v>
      </c>
      <c r="C52" s="14" t="s">
        <v>1312</v>
      </c>
      <c r="D52" s="14" t="s">
        <v>3701</v>
      </c>
      <c r="E52" s="14" t="str">
        <f>"0,5501"</f>
        <v>0,5501</v>
      </c>
      <c r="F52" s="14" t="s">
        <v>1314</v>
      </c>
      <c r="G52" s="15" t="s">
        <v>421</v>
      </c>
      <c r="H52" s="15" t="s">
        <v>490</v>
      </c>
      <c r="I52" s="16" t="s">
        <v>640</v>
      </c>
      <c r="J52" s="17"/>
      <c r="K52" s="40" t="str">
        <f>"250,0"</f>
        <v>250,0</v>
      </c>
      <c r="L52" s="17" t="str">
        <f>"137,5250"</f>
        <v>137,5250</v>
      </c>
      <c r="M52" s="14" t="s">
        <v>1315</v>
      </c>
    </row>
    <row r="53" spans="1:13">
      <c r="A53" s="17" t="s">
        <v>15</v>
      </c>
      <c r="B53" s="14" t="s">
        <v>3642</v>
      </c>
      <c r="C53" s="14" t="s">
        <v>3643</v>
      </c>
      <c r="D53" s="14" t="s">
        <v>3644</v>
      </c>
      <c r="E53" s="14" t="str">
        <f>"0,5611"</f>
        <v>0,5611</v>
      </c>
      <c r="F53" s="14" t="s">
        <v>2524</v>
      </c>
      <c r="G53" s="15" t="s">
        <v>374</v>
      </c>
      <c r="H53" s="15" t="s">
        <v>420</v>
      </c>
      <c r="I53" s="16" t="s">
        <v>437</v>
      </c>
      <c r="J53" s="17"/>
      <c r="K53" s="40" t="str">
        <f>"220,0"</f>
        <v>220,0</v>
      </c>
      <c r="L53" s="17" t="str">
        <f>"156,5245"</f>
        <v>156,5245</v>
      </c>
      <c r="M53" s="14" t="s">
        <v>158</v>
      </c>
    </row>
    <row r="54" spans="1:13">
      <c r="A54" s="20" t="s">
        <v>15</v>
      </c>
      <c r="B54" s="18" t="s">
        <v>1979</v>
      </c>
      <c r="C54" s="18" t="s">
        <v>1980</v>
      </c>
      <c r="D54" s="18" t="s">
        <v>3702</v>
      </c>
      <c r="E54" s="18" t="str">
        <f>"0,5579"</f>
        <v>0,5579</v>
      </c>
      <c r="F54" s="18" t="s">
        <v>1238</v>
      </c>
      <c r="G54" s="19" t="s">
        <v>398</v>
      </c>
      <c r="H54" s="20"/>
      <c r="I54" s="20"/>
      <c r="J54" s="20"/>
      <c r="K54" s="38" t="str">
        <f>"180,0"</f>
        <v>180,0</v>
      </c>
      <c r="L54" s="20" t="str">
        <f>"134,5534"</f>
        <v>134,5534</v>
      </c>
      <c r="M54" s="18" t="s">
        <v>158</v>
      </c>
    </row>
    <row r="55" spans="1:13">
      <c r="B55" s="5" t="s">
        <v>40</v>
      </c>
    </row>
    <row r="56" spans="1:13" ht="15.95">
      <c r="A56" s="102" t="s">
        <v>794</v>
      </c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3">
      <c r="A57" s="13" t="s">
        <v>15</v>
      </c>
      <c r="B57" s="11" t="s">
        <v>3703</v>
      </c>
      <c r="C57" s="11" t="s">
        <v>3704</v>
      </c>
      <c r="D57" s="11" t="s">
        <v>3705</v>
      </c>
      <c r="E57" s="11" t="str">
        <f>"0,5454"</f>
        <v>0,5454</v>
      </c>
      <c r="F57" s="11" t="s">
        <v>364</v>
      </c>
      <c r="G57" s="12" t="s">
        <v>491</v>
      </c>
      <c r="H57" s="12" t="s">
        <v>754</v>
      </c>
      <c r="I57" s="12" t="s">
        <v>738</v>
      </c>
      <c r="J57" s="13"/>
      <c r="K57" s="37" t="str">
        <f>"280,0"</f>
        <v>280,0</v>
      </c>
      <c r="L57" s="13" t="str">
        <f>"152,7008"</f>
        <v>152,7008</v>
      </c>
      <c r="M57" s="11" t="s">
        <v>158</v>
      </c>
    </row>
    <row r="58" spans="1:13">
      <c r="A58" s="17" t="s">
        <v>15</v>
      </c>
      <c r="B58" s="14" t="s">
        <v>3703</v>
      </c>
      <c r="C58" s="14" t="s">
        <v>3706</v>
      </c>
      <c r="D58" s="14" t="s">
        <v>3705</v>
      </c>
      <c r="E58" s="14" t="str">
        <f>"0,5454"</f>
        <v>0,5454</v>
      </c>
      <c r="F58" s="14" t="s">
        <v>364</v>
      </c>
      <c r="G58" s="15" t="s">
        <v>491</v>
      </c>
      <c r="H58" s="15" t="s">
        <v>754</v>
      </c>
      <c r="I58" s="15" t="s">
        <v>738</v>
      </c>
      <c r="J58" s="17"/>
      <c r="K58" s="40" t="str">
        <f>"280,0"</f>
        <v>280,0</v>
      </c>
      <c r="L58" s="17" t="str">
        <f>"152,7008"</f>
        <v>152,7008</v>
      </c>
      <c r="M58" s="14" t="s">
        <v>158</v>
      </c>
    </row>
    <row r="59" spans="1:13">
      <c r="A59" s="17" t="s">
        <v>62</v>
      </c>
      <c r="B59" s="14" t="s">
        <v>3498</v>
      </c>
      <c r="C59" s="14" t="s">
        <v>3499</v>
      </c>
      <c r="D59" s="14" t="s">
        <v>3500</v>
      </c>
      <c r="E59" s="14" t="str">
        <f>"0,5371"</f>
        <v>0,5371</v>
      </c>
      <c r="F59" s="14" t="s">
        <v>1238</v>
      </c>
      <c r="G59" s="15" t="s">
        <v>640</v>
      </c>
      <c r="H59" s="15" t="s">
        <v>738</v>
      </c>
      <c r="I59" s="16" t="s">
        <v>822</v>
      </c>
      <c r="J59" s="17"/>
      <c r="K59" s="40" t="str">
        <f>"280,0"</f>
        <v>280,0</v>
      </c>
      <c r="L59" s="17" t="str">
        <f>"150,3852"</f>
        <v>150,3852</v>
      </c>
      <c r="M59" s="14" t="s">
        <v>3501</v>
      </c>
    </row>
    <row r="60" spans="1:13">
      <c r="A60" s="17" t="s">
        <v>73</v>
      </c>
      <c r="B60" s="14" t="s">
        <v>3707</v>
      </c>
      <c r="C60" s="14" t="s">
        <v>3708</v>
      </c>
      <c r="D60" s="14" t="s">
        <v>3709</v>
      </c>
      <c r="E60" s="14" t="str">
        <f>"0,5442"</f>
        <v>0,5442</v>
      </c>
      <c r="F60" s="14" t="s">
        <v>3710</v>
      </c>
      <c r="G60" s="15" t="s">
        <v>398</v>
      </c>
      <c r="H60" s="15" t="s">
        <v>392</v>
      </c>
      <c r="I60" s="15" t="s">
        <v>384</v>
      </c>
      <c r="J60" s="17"/>
      <c r="K60" s="40" t="str">
        <f>"210,0"</f>
        <v>210,0</v>
      </c>
      <c r="L60" s="17" t="str">
        <f>"114,2820"</f>
        <v>114,2820</v>
      </c>
      <c r="M60" s="14" t="s">
        <v>3711</v>
      </c>
    </row>
    <row r="61" spans="1:13">
      <c r="A61" s="20" t="s">
        <v>15</v>
      </c>
      <c r="B61" s="18" t="s">
        <v>3498</v>
      </c>
      <c r="C61" s="18" t="s">
        <v>3506</v>
      </c>
      <c r="D61" s="18" t="s">
        <v>3500</v>
      </c>
      <c r="E61" s="18" t="str">
        <f>"0,5371"</f>
        <v>0,5371</v>
      </c>
      <c r="F61" s="18" t="s">
        <v>1238</v>
      </c>
      <c r="G61" s="19" t="s">
        <v>640</v>
      </c>
      <c r="H61" s="19" t="s">
        <v>738</v>
      </c>
      <c r="I61" s="22" t="s">
        <v>822</v>
      </c>
      <c r="J61" s="20"/>
      <c r="K61" s="38" t="str">
        <f>"280,0"</f>
        <v>280,0</v>
      </c>
      <c r="L61" s="20" t="str">
        <f>"155,0471"</f>
        <v>155,0471</v>
      </c>
      <c r="M61" s="18" t="s">
        <v>3501</v>
      </c>
    </row>
    <row r="62" spans="1:13">
      <c r="B62" s="5" t="s">
        <v>40</v>
      </c>
    </row>
    <row r="65" spans="2:6" ht="18">
      <c r="B65" s="23" t="s">
        <v>830</v>
      </c>
      <c r="C65" s="23"/>
    </row>
    <row r="66" spans="2:6" ht="15.95">
      <c r="B66" s="95" t="s">
        <v>855</v>
      </c>
      <c r="C66" s="95"/>
    </row>
    <row r="67" spans="2:6" ht="14.1">
      <c r="B67" s="24"/>
      <c r="C67" s="24" t="s">
        <v>832</v>
      </c>
    </row>
    <row r="68" spans="2:6" ht="14.1">
      <c r="B68" s="4" t="s">
        <v>833</v>
      </c>
      <c r="C68" s="4" t="s">
        <v>834</v>
      </c>
      <c r="D68" s="4" t="s">
        <v>835</v>
      </c>
      <c r="E68" s="4" t="s">
        <v>2294</v>
      </c>
      <c r="F68" s="4" t="s">
        <v>3650</v>
      </c>
    </row>
    <row r="69" spans="2:6">
      <c r="B69" s="5" t="s">
        <v>3138</v>
      </c>
      <c r="C69" s="5" t="s">
        <v>832</v>
      </c>
      <c r="D69" s="6" t="s">
        <v>868</v>
      </c>
      <c r="E69" s="6" t="s">
        <v>738</v>
      </c>
      <c r="F69" s="6" t="s">
        <v>3712</v>
      </c>
    </row>
    <row r="70" spans="2:6">
      <c r="B70" s="5" t="s">
        <v>3100</v>
      </c>
      <c r="C70" s="5" t="s">
        <v>832</v>
      </c>
      <c r="D70" s="6" t="s">
        <v>861</v>
      </c>
      <c r="E70" s="6" t="s">
        <v>490</v>
      </c>
      <c r="F70" s="6" t="s">
        <v>3713</v>
      </c>
    </row>
    <row r="71" spans="2:6">
      <c r="B71" s="5" t="s">
        <v>3658</v>
      </c>
      <c r="C71" s="5" t="s">
        <v>832</v>
      </c>
      <c r="D71" s="6" t="s">
        <v>868</v>
      </c>
      <c r="E71" s="6" t="s">
        <v>490</v>
      </c>
      <c r="F71" s="6" t="s">
        <v>3714</v>
      </c>
    </row>
    <row r="73" spans="2:6" ht="14.1">
      <c r="B73" s="24"/>
      <c r="C73" s="24" t="s">
        <v>847</v>
      </c>
    </row>
    <row r="74" spans="2:6" ht="14.1">
      <c r="B74" s="4" t="s">
        <v>833</v>
      </c>
      <c r="C74" s="4" t="s">
        <v>834</v>
      </c>
      <c r="D74" s="4" t="s">
        <v>835</v>
      </c>
      <c r="E74" s="4" t="s">
        <v>2294</v>
      </c>
      <c r="F74" s="4" t="s">
        <v>3650</v>
      </c>
    </row>
    <row r="75" spans="2:6">
      <c r="B75" s="5" t="s">
        <v>3301</v>
      </c>
      <c r="C75" s="5" t="s">
        <v>848</v>
      </c>
      <c r="D75" s="6" t="s">
        <v>888</v>
      </c>
      <c r="E75" s="6" t="s">
        <v>754</v>
      </c>
      <c r="F75" s="6" t="s">
        <v>3715</v>
      </c>
    </row>
    <row r="76" spans="2:6">
      <c r="B76" s="5" t="s">
        <v>3283</v>
      </c>
      <c r="C76" s="5" t="s">
        <v>848</v>
      </c>
      <c r="D76" s="6" t="s">
        <v>888</v>
      </c>
      <c r="E76" s="6" t="s">
        <v>529</v>
      </c>
      <c r="F76" s="6" t="s">
        <v>3716</v>
      </c>
    </row>
    <row r="77" spans="2:6">
      <c r="B77" s="5" t="s">
        <v>3642</v>
      </c>
      <c r="C77" s="5" t="s">
        <v>884</v>
      </c>
      <c r="D77" s="6" t="s">
        <v>1356</v>
      </c>
      <c r="E77" s="6" t="s">
        <v>420</v>
      </c>
      <c r="F77" s="6" t="s">
        <v>3717</v>
      </c>
    </row>
    <row r="78" spans="2:6">
      <c r="B78" s="5" t="s">
        <v>40</v>
      </c>
    </row>
  </sheetData>
  <mergeCells count="19">
    <mergeCell ref="A19:L19"/>
    <mergeCell ref="A25:L25"/>
    <mergeCell ref="A38:L38"/>
    <mergeCell ref="A49:L49"/>
    <mergeCell ref="A56:L56"/>
    <mergeCell ref="A8:L8"/>
    <mergeCell ref="A11:L11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5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U197"/>
  <sheetViews>
    <sheetView workbookViewId="0">
      <selection sqref="A1:U2"/>
    </sheetView>
  </sheetViews>
  <sheetFormatPr defaultColWidth="9.140625" defaultRowHeight="12.95"/>
  <cols>
    <col min="1" max="1" width="7.42578125" style="6" bestFit="1" customWidth="1"/>
    <col min="2" max="2" width="23.28515625" style="5" bestFit="1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22.42578125" style="5" bestFit="1" customWidth="1"/>
    <col min="7" max="13" width="5.42578125" style="6" bestFit="1" customWidth="1"/>
    <col min="14" max="14" width="4.85546875" style="6" bestFit="1" customWidth="1"/>
    <col min="15" max="18" width="5.42578125" style="6" bestFit="1" customWidth="1"/>
    <col min="19" max="19" width="7.85546875" style="39" bestFit="1" customWidth="1"/>
    <col min="20" max="20" width="8.42578125" style="6" bestFit="1" customWidth="1"/>
    <col min="21" max="21" width="20" style="5" bestFit="1" customWidth="1"/>
    <col min="22" max="16384" width="9.140625" style="3"/>
  </cols>
  <sheetData>
    <row r="1" spans="1:21" s="2" customFormat="1" ht="29.1" customHeight="1">
      <c r="A1" s="103" t="s">
        <v>891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/>
    </row>
    <row r="2" spans="1:21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9"/>
    </row>
    <row r="3" spans="1:21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5</v>
      </c>
      <c r="F3" s="114" t="s">
        <v>6</v>
      </c>
      <c r="G3" s="114" t="s">
        <v>7</v>
      </c>
      <c r="H3" s="114"/>
      <c r="I3" s="114"/>
      <c r="J3" s="114"/>
      <c r="K3" s="114" t="s">
        <v>8</v>
      </c>
      <c r="L3" s="114"/>
      <c r="M3" s="114"/>
      <c r="N3" s="114"/>
      <c r="O3" s="114" t="s">
        <v>9</v>
      </c>
      <c r="P3" s="114"/>
      <c r="Q3" s="114"/>
      <c r="R3" s="114"/>
      <c r="S3" s="117" t="s">
        <v>10</v>
      </c>
      <c r="T3" s="114" t="s">
        <v>11</v>
      </c>
      <c r="U3" s="99" t="s">
        <v>12</v>
      </c>
    </row>
    <row r="4" spans="1:21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96">
        <v>1</v>
      </c>
      <c r="L4" s="96">
        <v>2</v>
      </c>
      <c r="M4" s="96">
        <v>3</v>
      </c>
      <c r="N4" s="96" t="s">
        <v>13</v>
      </c>
      <c r="O4" s="96">
        <v>1</v>
      </c>
      <c r="P4" s="96">
        <v>2</v>
      </c>
      <c r="Q4" s="96">
        <v>3</v>
      </c>
      <c r="R4" s="96" t="s">
        <v>13</v>
      </c>
      <c r="S4" s="118"/>
      <c r="T4" s="113"/>
      <c r="U4" s="100"/>
    </row>
    <row r="5" spans="1:21" ht="15.95">
      <c r="A5" s="101" t="s">
        <v>98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1:21">
      <c r="A6" s="13" t="s">
        <v>15</v>
      </c>
      <c r="B6" s="11" t="s">
        <v>892</v>
      </c>
      <c r="C6" s="11" t="s">
        <v>893</v>
      </c>
      <c r="D6" s="11" t="s">
        <v>894</v>
      </c>
      <c r="E6" s="11" t="str">
        <f>"1,2504"</f>
        <v>1,2504</v>
      </c>
      <c r="F6" s="11" t="s">
        <v>895</v>
      </c>
      <c r="G6" s="12" t="s">
        <v>37</v>
      </c>
      <c r="H6" s="12" t="s">
        <v>49</v>
      </c>
      <c r="I6" s="21" t="s">
        <v>69</v>
      </c>
      <c r="J6" s="13"/>
      <c r="K6" s="12" t="s">
        <v>26</v>
      </c>
      <c r="L6" s="21" t="s">
        <v>32</v>
      </c>
      <c r="M6" s="21" t="s">
        <v>32</v>
      </c>
      <c r="N6" s="13"/>
      <c r="O6" s="12" t="s">
        <v>56</v>
      </c>
      <c r="P6" s="12" t="s">
        <v>70</v>
      </c>
      <c r="Q6" s="12" t="s">
        <v>145</v>
      </c>
      <c r="R6" s="13"/>
      <c r="S6" s="37" t="str">
        <f>"290,0"</f>
        <v>290,0</v>
      </c>
      <c r="T6" s="13" t="str">
        <f>"362,6160"</f>
        <v>362,6160</v>
      </c>
      <c r="U6" s="11" t="s">
        <v>896</v>
      </c>
    </row>
    <row r="7" spans="1:21">
      <c r="A7" s="20" t="s">
        <v>15</v>
      </c>
      <c r="B7" s="18" t="s">
        <v>897</v>
      </c>
      <c r="C7" s="18" t="s">
        <v>898</v>
      </c>
      <c r="D7" s="18" t="s">
        <v>899</v>
      </c>
      <c r="E7" s="18" t="str">
        <f>"1,2654"</f>
        <v>1,2654</v>
      </c>
      <c r="F7" s="18" t="s">
        <v>900</v>
      </c>
      <c r="G7" s="19" t="s">
        <v>146</v>
      </c>
      <c r="H7" s="19" t="s">
        <v>36</v>
      </c>
      <c r="I7" s="22" t="s">
        <v>37</v>
      </c>
      <c r="J7" s="20"/>
      <c r="K7" s="19" t="s">
        <v>103</v>
      </c>
      <c r="L7" s="19" t="s">
        <v>26</v>
      </c>
      <c r="M7" s="19" t="s">
        <v>32</v>
      </c>
      <c r="N7" s="20"/>
      <c r="O7" s="19" t="s">
        <v>49</v>
      </c>
      <c r="P7" s="19" t="s">
        <v>56</v>
      </c>
      <c r="Q7" s="19" t="s">
        <v>70</v>
      </c>
      <c r="R7" s="20"/>
      <c r="S7" s="38" t="str">
        <f>"275,0"</f>
        <v>275,0</v>
      </c>
      <c r="T7" s="20" t="str">
        <f>"347,9850"</f>
        <v>347,9850</v>
      </c>
      <c r="U7" s="18" t="s">
        <v>901</v>
      </c>
    </row>
    <row r="8" spans="1:21">
      <c r="B8" s="5" t="s">
        <v>40</v>
      </c>
    </row>
    <row r="9" spans="1:21" ht="15.95">
      <c r="A9" s="102" t="s">
        <v>141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</row>
    <row r="10" spans="1:21">
      <c r="A10" s="10" t="s">
        <v>15</v>
      </c>
      <c r="B10" s="7" t="s">
        <v>902</v>
      </c>
      <c r="C10" s="7" t="s">
        <v>903</v>
      </c>
      <c r="D10" s="7" t="s">
        <v>150</v>
      </c>
      <c r="E10" s="7" t="str">
        <f>"1,1766"</f>
        <v>1,1766</v>
      </c>
      <c r="F10" s="7" t="s">
        <v>91</v>
      </c>
      <c r="G10" s="8" t="s">
        <v>36</v>
      </c>
      <c r="H10" s="8" t="s">
        <v>37</v>
      </c>
      <c r="I10" s="9" t="s">
        <v>110</v>
      </c>
      <c r="J10" s="10"/>
      <c r="K10" s="8" t="s">
        <v>26</v>
      </c>
      <c r="L10" s="8" t="s">
        <v>32</v>
      </c>
      <c r="M10" s="9" t="s">
        <v>57</v>
      </c>
      <c r="N10" s="10"/>
      <c r="O10" s="8" t="s">
        <v>209</v>
      </c>
      <c r="P10" s="8" t="s">
        <v>58</v>
      </c>
      <c r="Q10" s="8" t="s">
        <v>346</v>
      </c>
      <c r="R10" s="10"/>
      <c r="S10" s="41" t="str">
        <f>"302,5"</f>
        <v>302,5</v>
      </c>
      <c r="T10" s="10" t="str">
        <f>"355,9215"</f>
        <v>355,9215</v>
      </c>
      <c r="U10" s="7" t="s">
        <v>904</v>
      </c>
    </row>
    <row r="11" spans="1:21">
      <c r="B11" s="5" t="s">
        <v>40</v>
      </c>
    </row>
    <row r="12" spans="1:21" ht="15.95">
      <c r="A12" s="102" t="s">
        <v>195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</row>
    <row r="13" spans="1:21">
      <c r="A13" s="13" t="s">
        <v>15</v>
      </c>
      <c r="B13" s="11" t="s">
        <v>905</v>
      </c>
      <c r="C13" s="11" t="s">
        <v>566</v>
      </c>
      <c r="D13" s="11" t="s">
        <v>208</v>
      </c>
      <c r="E13" s="11" t="str">
        <f>"1,1281"</f>
        <v>1,1281</v>
      </c>
      <c r="F13" s="11" t="s">
        <v>906</v>
      </c>
      <c r="G13" s="12" t="s">
        <v>145</v>
      </c>
      <c r="H13" s="12" t="s">
        <v>157</v>
      </c>
      <c r="I13" s="21" t="s">
        <v>147</v>
      </c>
      <c r="J13" s="13"/>
      <c r="K13" s="12" t="s">
        <v>81</v>
      </c>
      <c r="L13" s="12" t="s">
        <v>67</v>
      </c>
      <c r="M13" s="21" t="s">
        <v>120</v>
      </c>
      <c r="N13" s="13"/>
      <c r="O13" s="12" t="s">
        <v>346</v>
      </c>
      <c r="P13" s="12" t="s">
        <v>342</v>
      </c>
      <c r="Q13" s="21" t="s">
        <v>151</v>
      </c>
      <c r="R13" s="13"/>
      <c r="S13" s="37" t="str">
        <f>"370,0"</f>
        <v>370,0</v>
      </c>
      <c r="T13" s="13" t="str">
        <f>"417,3970"</f>
        <v>417,3970</v>
      </c>
      <c r="U13" s="11" t="s">
        <v>907</v>
      </c>
    </row>
    <row r="14" spans="1:21">
      <c r="A14" s="20" t="s">
        <v>62</v>
      </c>
      <c r="B14" s="18" t="s">
        <v>908</v>
      </c>
      <c r="C14" s="18" t="s">
        <v>909</v>
      </c>
      <c r="D14" s="18" t="s">
        <v>910</v>
      </c>
      <c r="E14" s="18" t="str">
        <f>"1,1386"</f>
        <v>1,1386</v>
      </c>
      <c r="F14" s="18" t="s">
        <v>91</v>
      </c>
      <c r="G14" s="19" t="s">
        <v>38</v>
      </c>
      <c r="H14" s="19" t="s">
        <v>56</v>
      </c>
      <c r="I14" s="19" t="s">
        <v>70</v>
      </c>
      <c r="J14" s="20"/>
      <c r="K14" s="19" t="s">
        <v>26</v>
      </c>
      <c r="L14" s="19" t="s">
        <v>32</v>
      </c>
      <c r="M14" s="22" t="s">
        <v>57</v>
      </c>
      <c r="N14" s="20"/>
      <c r="O14" s="19" t="s">
        <v>59</v>
      </c>
      <c r="P14" s="19" t="s">
        <v>342</v>
      </c>
      <c r="Q14" s="22" t="s">
        <v>151</v>
      </c>
      <c r="R14" s="20"/>
      <c r="S14" s="38" t="str">
        <f>"337,5"</f>
        <v>337,5</v>
      </c>
      <c r="T14" s="20" t="str">
        <f>"384,2775"</f>
        <v>384,2775</v>
      </c>
      <c r="U14" s="18" t="s">
        <v>911</v>
      </c>
    </row>
    <row r="15" spans="1:21">
      <c r="B15" s="5" t="s">
        <v>40</v>
      </c>
    </row>
    <row r="16" spans="1:21" ht="15.95">
      <c r="A16" s="102" t="s">
        <v>241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</row>
    <row r="17" spans="1:21">
      <c r="A17" s="13" t="s">
        <v>15</v>
      </c>
      <c r="B17" s="11" t="s">
        <v>912</v>
      </c>
      <c r="C17" s="11" t="s">
        <v>913</v>
      </c>
      <c r="D17" s="11" t="s">
        <v>914</v>
      </c>
      <c r="E17" s="11" t="str">
        <f>"1,0994"</f>
        <v>1,0994</v>
      </c>
      <c r="F17" s="11" t="s">
        <v>915</v>
      </c>
      <c r="G17" s="12" t="s">
        <v>59</v>
      </c>
      <c r="H17" s="12" t="s">
        <v>342</v>
      </c>
      <c r="I17" s="21" t="s">
        <v>151</v>
      </c>
      <c r="J17" s="13"/>
      <c r="K17" s="12" t="s">
        <v>67</v>
      </c>
      <c r="L17" s="12" t="s">
        <v>36</v>
      </c>
      <c r="M17" s="12" t="s">
        <v>68</v>
      </c>
      <c r="N17" s="13"/>
      <c r="O17" s="12" t="s">
        <v>427</v>
      </c>
      <c r="P17" s="12" t="s">
        <v>248</v>
      </c>
      <c r="Q17" s="12" t="s">
        <v>351</v>
      </c>
      <c r="R17" s="13"/>
      <c r="S17" s="37" t="str">
        <f>"420,0"</f>
        <v>420,0</v>
      </c>
      <c r="T17" s="13" t="str">
        <f>"461,7480"</f>
        <v>461,7480</v>
      </c>
      <c r="U17" s="11" t="s">
        <v>916</v>
      </c>
    </row>
    <row r="18" spans="1:21">
      <c r="A18" s="17" t="s">
        <v>62</v>
      </c>
      <c r="B18" s="14" t="s">
        <v>917</v>
      </c>
      <c r="C18" s="14" t="s">
        <v>918</v>
      </c>
      <c r="D18" s="14" t="s">
        <v>919</v>
      </c>
      <c r="E18" s="14" t="str">
        <f>"1,1007"</f>
        <v>1,1007</v>
      </c>
      <c r="F18" s="14" t="s">
        <v>920</v>
      </c>
      <c r="G18" s="15" t="s">
        <v>69</v>
      </c>
      <c r="H18" s="15" t="s">
        <v>70</v>
      </c>
      <c r="I18" s="16" t="s">
        <v>145</v>
      </c>
      <c r="J18" s="17"/>
      <c r="K18" s="15" t="s">
        <v>26</v>
      </c>
      <c r="L18" s="15" t="s">
        <v>32</v>
      </c>
      <c r="M18" s="15" t="s">
        <v>140</v>
      </c>
      <c r="N18" s="17"/>
      <c r="O18" s="15" t="s">
        <v>70</v>
      </c>
      <c r="P18" s="15" t="s">
        <v>71</v>
      </c>
      <c r="Q18" s="16" t="s">
        <v>209</v>
      </c>
      <c r="R18" s="17"/>
      <c r="S18" s="40" t="str">
        <f>"322,5"</f>
        <v>322,5</v>
      </c>
      <c r="T18" s="17" t="str">
        <f>"354,9758"</f>
        <v>354,9758</v>
      </c>
      <c r="U18" s="14" t="s">
        <v>158</v>
      </c>
    </row>
    <row r="19" spans="1:21">
      <c r="A19" s="17" t="s">
        <v>92</v>
      </c>
      <c r="B19" s="14" t="s">
        <v>921</v>
      </c>
      <c r="C19" s="14" t="s">
        <v>922</v>
      </c>
      <c r="D19" s="14" t="s">
        <v>373</v>
      </c>
      <c r="E19" s="14" t="str">
        <f>"1,0250"</f>
        <v>1,0250</v>
      </c>
      <c r="F19" s="14" t="s">
        <v>91</v>
      </c>
      <c r="G19" s="16" t="s">
        <v>60</v>
      </c>
      <c r="H19" s="16" t="s">
        <v>60</v>
      </c>
      <c r="I19" s="16" t="s">
        <v>60</v>
      </c>
      <c r="J19" s="17"/>
      <c r="K19" s="17"/>
      <c r="L19" s="17"/>
      <c r="M19" s="17"/>
      <c r="N19" s="17"/>
      <c r="O19" s="17"/>
      <c r="P19" s="17"/>
      <c r="Q19" s="17"/>
      <c r="R19" s="17"/>
      <c r="S19" s="40">
        <v>0</v>
      </c>
      <c r="T19" s="17" t="str">
        <f>"0,0000"</f>
        <v>0,0000</v>
      </c>
      <c r="U19" s="14" t="s">
        <v>158</v>
      </c>
    </row>
    <row r="20" spans="1:21">
      <c r="A20" s="17" t="s">
        <v>15</v>
      </c>
      <c r="B20" s="14" t="s">
        <v>923</v>
      </c>
      <c r="C20" s="14" t="s">
        <v>924</v>
      </c>
      <c r="D20" s="14" t="s">
        <v>925</v>
      </c>
      <c r="E20" s="14" t="str">
        <f>"1,0294"</f>
        <v>1,0294</v>
      </c>
      <c r="F20" s="14" t="s">
        <v>594</v>
      </c>
      <c r="G20" s="16" t="s">
        <v>146</v>
      </c>
      <c r="H20" s="15" t="s">
        <v>146</v>
      </c>
      <c r="I20" s="16" t="s">
        <v>120</v>
      </c>
      <c r="J20" s="17"/>
      <c r="K20" s="15" t="s">
        <v>34</v>
      </c>
      <c r="L20" s="15" t="s">
        <v>25</v>
      </c>
      <c r="M20" s="16" t="s">
        <v>35</v>
      </c>
      <c r="N20" s="17"/>
      <c r="O20" s="15" t="s">
        <v>56</v>
      </c>
      <c r="P20" s="15" t="s">
        <v>145</v>
      </c>
      <c r="Q20" s="16" t="s">
        <v>209</v>
      </c>
      <c r="R20" s="17"/>
      <c r="S20" s="40" t="str">
        <f>"262,5"</f>
        <v>262,5</v>
      </c>
      <c r="T20" s="17" t="str">
        <f>"301,0223"</f>
        <v>301,0223</v>
      </c>
      <c r="U20" s="14" t="s">
        <v>926</v>
      </c>
    </row>
    <row r="21" spans="1:21">
      <c r="A21" s="20" t="s">
        <v>15</v>
      </c>
      <c r="B21" s="18" t="s">
        <v>927</v>
      </c>
      <c r="C21" s="18" t="s">
        <v>928</v>
      </c>
      <c r="D21" s="18" t="s">
        <v>919</v>
      </c>
      <c r="E21" s="18" t="str">
        <f>"1,1007"</f>
        <v>1,1007</v>
      </c>
      <c r="F21" s="18" t="s">
        <v>594</v>
      </c>
      <c r="G21" s="19" t="s">
        <v>81</v>
      </c>
      <c r="H21" s="19" t="s">
        <v>146</v>
      </c>
      <c r="I21" s="19" t="s">
        <v>120</v>
      </c>
      <c r="J21" s="20"/>
      <c r="K21" s="19" t="s">
        <v>34</v>
      </c>
      <c r="L21" s="19" t="s">
        <v>35</v>
      </c>
      <c r="M21" s="22" t="s">
        <v>26</v>
      </c>
      <c r="N21" s="20"/>
      <c r="O21" s="19" t="s">
        <v>38</v>
      </c>
      <c r="P21" s="19" t="s">
        <v>69</v>
      </c>
      <c r="Q21" s="19" t="s">
        <v>56</v>
      </c>
      <c r="R21" s="20"/>
      <c r="S21" s="38" t="str">
        <f>"260,0"</f>
        <v>260,0</v>
      </c>
      <c r="T21" s="20" t="str">
        <f>"339,6980"</f>
        <v>339,6980</v>
      </c>
      <c r="U21" s="18" t="s">
        <v>929</v>
      </c>
    </row>
    <row r="22" spans="1:21">
      <c r="B22" s="5" t="s">
        <v>40</v>
      </c>
    </row>
    <row r="23" spans="1:21" ht="15.95">
      <c r="A23" s="102" t="s">
        <v>301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</row>
    <row r="24" spans="1:21">
      <c r="A24" s="13" t="s">
        <v>15</v>
      </c>
      <c r="B24" s="11" t="s">
        <v>930</v>
      </c>
      <c r="C24" s="11" t="s">
        <v>931</v>
      </c>
      <c r="D24" s="11" t="s">
        <v>932</v>
      </c>
      <c r="E24" s="11" t="str">
        <f>"0,9881"</f>
        <v>0,9881</v>
      </c>
      <c r="F24" s="11" t="s">
        <v>612</v>
      </c>
      <c r="G24" s="12" t="s">
        <v>67</v>
      </c>
      <c r="H24" s="12" t="s">
        <v>36</v>
      </c>
      <c r="I24" s="21" t="s">
        <v>37</v>
      </c>
      <c r="J24" s="13"/>
      <c r="K24" s="12" t="s">
        <v>21</v>
      </c>
      <c r="L24" s="12" t="s">
        <v>82</v>
      </c>
      <c r="M24" s="12" t="s">
        <v>83</v>
      </c>
      <c r="N24" s="13"/>
      <c r="O24" s="12" t="s">
        <v>67</v>
      </c>
      <c r="P24" s="12" t="s">
        <v>37</v>
      </c>
      <c r="Q24" s="12" t="s">
        <v>49</v>
      </c>
      <c r="R24" s="13"/>
      <c r="S24" s="37" t="str">
        <f>"242,5"</f>
        <v>242,5</v>
      </c>
      <c r="T24" s="13" t="str">
        <f>"239,6142"</f>
        <v>239,6142</v>
      </c>
      <c r="U24" s="11" t="s">
        <v>158</v>
      </c>
    </row>
    <row r="25" spans="1:21">
      <c r="A25" s="17" t="s">
        <v>15</v>
      </c>
      <c r="B25" s="14" t="s">
        <v>933</v>
      </c>
      <c r="C25" s="14" t="s">
        <v>934</v>
      </c>
      <c r="D25" s="14" t="s">
        <v>308</v>
      </c>
      <c r="E25" s="14" t="str">
        <f>"0,9514"</f>
        <v>0,9514</v>
      </c>
      <c r="F25" s="14" t="s">
        <v>91</v>
      </c>
      <c r="G25" s="15" t="s">
        <v>152</v>
      </c>
      <c r="H25" s="15" t="s">
        <v>550</v>
      </c>
      <c r="I25" s="15" t="s">
        <v>452</v>
      </c>
      <c r="J25" s="17"/>
      <c r="K25" s="15" t="s">
        <v>49</v>
      </c>
      <c r="L25" s="15" t="s">
        <v>69</v>
      </c>
      <c r="M25" s="16" t="s">
        <v>55</v>
      </c>
      <c r="N25" s="17"/>
      <c r="O25" s="15" t="s">
        <v>351</v>
      </c>
      <c r="P25" s="16" t="s">
        <v>458</v>
      </c>
      <c r="Q25" s="15" t="s">
        <v>458</v>
      </c>
      <c r="R25" s="17"/>
      <c r="S25" s="40" t="str">
        <f>"470,0"</f>
        <v>470,0</v>
      </c>
      <c r="T25" s="17" t="str">
        <f>"447,1580"</f>
        <v>447,1580</v>
      </c>
      <c r="U25" s="14" t="s">
        <v>213</v>
      </c>
    </row>
    <row r="26" spans="1:21">
      <c r="A26" s="17" t="s">
        <v>62</v>
      </c>
      <c r="B26" s="14" t="s">
        <v>935</v>
      </c>
      <c r="C26" s="14" t="s">
        <v>936</v>
      </c>
      <c r="D26" s="14" t="s">
        <v>937</v>
      </c>
      <c r="E26" s="14" t="str">
        <f>"0,9734"</f>
        <v>0,9734</v>
      </c>
      <c r="F26" s="14" t="s">
        <v>435</v>
      </c>
      <c r="G26" s="15" t="s">
        <v>60</v>
      </c>
      <c r="H26" s="16" t="s">
        <v>205</v>
      </c>
      <c r="I26" s="16" t="s">
        <v>205</v>
      </c>
      <c r="J26" s="17"/>
      <c r="K26" s="15" t="s">
        <v>37</v>
      </c>
      <c r="L26" s="16" t="s">
        <v>38</v>
      </c>
      <c r="M26" s="16" t="s">
        <v>38</v>
      </c>
      <c r="N26" s="17"/>
      <c r="O26" s="15" t="s">
        <v>151</v>
      </c>
      <c r="P26" s="15" t="s">
        <v>347</v>
      </c>
      <c r="Q26" s="16" t="s">
        <v>550</v>
      </c>
      <c r="R26" s="17"/>
      <c r="S26" s="40" t="str">
        <f>"412,5"</f>
        <v>412,5</v>
      </c>
      <c r="T26" s="17" t="str">
        <f>"401,5275"</f>
        <v>401,5275</v>
      </c>
      <c r="U26" s="14" t="s">
        <v>938</v>
      </c>
    </row>
    <row r="27" spans="1:21">
      <c r="A27" s="17" t="s">
        <v>73</v>
      </c>
      <c r="B27" s="14" t="s">
        <v>939</v>
      </c>
      <c r="C27" s="14" t="s">
        <v>940</v>
      </c>
      <c r="D27" s="14" t="s">
        <v>313</v>
      </c>
      <c r="E27" s="14" t="str">
        <f>"0,9522"</f>
        <v>0,9522</v>
      </c>
      <c r="F27" s="14" t="s">
        <v>91</v>
      </c>
      <c r="G27" s="15" t="s">
        <v>71</v>
      </c>
      <c r="H27" s="16" t="s">
        <v>58</v>
      </c>
      <c r="I27" s="17"/>
      <c r="J27" s="17"/>
      <c r="K27" s="15" t="s">
        <v>57</v>
      </c>
      <c r="L27" s="16" t="s">
        <v>80</v>
      </c>
      <c r="M27" s="17"/>
      <c r="N27" s="17"/>
      <c r="O27" s="15" t="s">
        <v>209</v>
      </c>
      <c r="P27" s="16" t="s">
        <v>58</v>
      </c>
      <c r="Q27" s="17"/>
      <c r="R27" s="17"/>
      <c r="S27" s="40" t="str">
        <f>"332,5"</f>
        <v>332,5</v>
      </c>
      <c r="T27" s="17" t="str">
        <f>"316,6065"</f>
        <v>316,6065</v>
      </c>
      <c r="U27" s="14" t="s">
        <v>941</v>
      </c>
    </row>
    <row r="28" spans="1:21">
      <c r="A28" s="17" t="s">
        <v>92</v>
      </c>
      <c r="B28" s="14" t="s">
        <v>942</v>
      </c>
      <c r="C28" s="14" t="s">
        <v>943</v>
      </c>
      <c r="D28" s="14" t="s">
        <v>944</v>
      </c>
      <c r="E28" s="14" t="str">
        <f>"0,9834"</f>
        <v>0,9834</v>
      </c>
      <c r="F28" s="14" t="s">
        <v>945</v>
      </c>
      <c r="G28" s="15" t="s">
        <v>209</v>
      </c>
      <c r="H28" s="15" t="s">
        <v>59</v>
      </c>
      <c r="I28" s="16" t="s">
        <v>204</v>
      </c>
      <c r="J28" s="17"/>
      <c r="K28" s="17"/>
      <c r="L28" s="17"/>
      <c r="M28" s="17"/>
      <c r="N28" s="17"/>
      <c r="O28" s="17"/>
      <c r="P28" s="17"/>
      <c r="Q28" s="17"/>
      <c r="R28" s="17"/>
      <c r="S28" s="40">
        <v>0</v>
      </c>
      <c r="T28" s="17" t="str">
        <f>"0,0000"</f>
        <v>0,0000</v>
      </c>
      <c r="U28" s="14" t="s">
        <v>946</v>
      </c>
    </row>
    <row r="29" spans="1:21">
      <c r="A29" s="20" t="s">
        <v>92</v>
      </c>
      <c r="B29" s="18" t="s">
        <v>947</v>
      </c>
      <c r="C29" s="18" t="s">
        <v>948</v>
      </c>
      <c r="D29" s="18" t="s">
        <v>949</v>
      </c>
      <c r="E29" s="18" t="str">
        <f>"0,9638"</f>
        <v>0,9638</v>
      </c>
      <c r="F29" s="18" t="s">
        <v>222</v>
      </c>
      <c r="G29" s="22" t="s">
        <v>152</v>
      </c>
      <c r="H29" s="22" t="s">
        <v>351</v>
      </c>
      <c r="I29" s="22" t="s">
        <v>351</v>
      </c>
      <c r="J29" s="20"/>
      <c r="K29" s="20"/>
      <c r="L29" s="20"/>
      <c r="M29" s="20"/>
      <c r="N29" s="20"/>
      <c r="O29" s="20"/>
      <c r="P29" s="20"/>
      <c r="Q29" s="20"/>
      <c r="R29" s="20"/>
      <c r="S29" s="38">
        <v>0</v>
      </c>
      <c r="T29" s="20" t="str">
        <f>"0,0000"</f>
        <v>0,0000</v>
      </c>
      <c r="U29" s="18" t="s">
        <v>223</v>
      </c>
    </row>
    <row r="30" spans="1:21">
      <c r="B30" s="5" t="s">
        <v>40</v>
      </c>
    </row>
    <row r="31" spans="1:21" ht="15.95">
      <c r="A31" s="102" t="s">
        <v>598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</row>
    <row r="32" spans="1:21">
      <c r="A32" s="10" t="s">
        <v>15</v>
      </c>
      <c r="B32" s="7" t="s">
        <v>950</v>
      </c>
      <c r="C32" s="7" t="s">
        <v>951</v>
      </c>
      <c r="D32" s="7" t="s">
        <v>952</v>
      </c>
      <c r="E32" s="7" t="str">
        <f>"0,8746"</f>
        <v>0,8746</v>
      </c>
      <c r="F32" s="7" t="s">
        <v>91</v>
      </c>
      <c r="G32" s="8" t="s">
        <v>58</v>
      </c>
      <c r="H32" s="9" t="s">
        <v>346</v>
      </c>
      <c r="I32" s="9" t="s">
        <v>205</v>
      </c>
      <c r="J32" s="10"/>
      <c r="K32" s="8" t="s">
        <v>36</v>
      </c>
      <c r="L32" s="9" t="s">
        <v>38</v>
      </c>
      <c r="M32" s="9" t="s">
        <v>49</v>
      </c>
      <c r="N32" s="10"/>
      <c r="O32" s="8" t="s">
        <v>58</v>
      </c>
      <c r="P32" s="8" t="s">
        <v>151</v>
      </c>
      <c r="Q32" s="9" t="s">
        <v>398</v>
      </c>
      <c r="R32" s="10"/>
      <c r="S32" s="41" t="str">
        <f>"390,0"</f>
        <v>390,0</v>
      </c>
      <c r="T32" s="10" t="str">
        <f>"341,0940"</f>
        <v>341,0940</v>
      </c>
      <c r="U32" s="7" t="s">
        <v>953</v>
      </c>
    </row>
    <row r="33" spans="1:21">
      <c r="B33" s="5" t="s">
        <v>40</v>
      </c>
    </row>
    <row r="34" spans="1:21" ht="15.95">
      <c r="A34" s="102" t="s">
        <v>98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</row>
    <row r="35" spans="1:21">
      <c r="A35" s="10" t="s">
        <v>15</v>
      </c>
      <c r="B35" s="7" t="s">
        <v>954</v>
      </c>
      <c r="C35" s="7" t="s">
        <v>955</v>
      </c>
      <c r="D35" s="7" t="s">
        <v>956</v>
      </c>
      <c r="E35" s="7" t="str">
        <f>"1,0779"</f>
        <v>1,0779</v>
      </c>
      <c r="F35" s="7" t="s">
        <v>166</v>
      </c>
      <c r="G35" s="8" t="s">
        <v>26</v>
      </c>
      <c r="H35" s="8" t="s">
        <v>32</v>
      </c>
      <c r="I35" s="8" t="s">
        <v>33</v>
      </c>
      <c r="J35" s="10"/>
      <c r="K35" s="8" t="s">
        <v>83</v>
      </c>
      <c r="L35" s="8" t="s">
        <v>34</v>
      </c>
      <c r="M35" s="9" t="s">
        <v>25</v>
      </c>
      <c r="N35" s="10"/>
      <c r="O35" s="8" t="s">
        <v>81</v>
      </c>
      <c r="P35" s="9" t="s">
        <v>36</v>
      </c>
      <c r="Q35" s="9" t="s">
        <v>36</v>
      </c>
      <c r="R35" s="10"/>
      <c r="S35" s="41" t="str">
        <f>"202,5"</f>
        <v>202,5</v>
      </c>
      <c r="T35" s="10" t="str">
        <f>"218,2748"</f>
        <v>218,2748</v>
      </c>
      <c r="U35" s="7" t="s">
        <v>957</v>
      </c>
    </row>
    <row r="36" spans="1:21">
      <c r="B36" s="5" t="s">
        <v>40</v>
      </c>
    </row>
    <row r="37" spans="1:21" ht="15.95">
      <c r="A37" s="102" t="s">
        <v>195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</row>
    <row r="38" spans="1:21">
      <c r="A38" s="10" t="s">
        <v>15</v>
      </c>
      <c r="B38" s="7" t="s">
        <v>958</v>
      </c>
      <c r="C38" s="7" t="s">
        <v>959</v>
      </c>
      <c r="D38" s="7" t="s">
        <v>960</v>
      </c>
      <c r="E38" s="7" t="str">
        <f>"0,8689"</f>
        <v>0,8689</v>
      </c>
      <c r="F38" s="7" t="s">
        <v>961</v>
      </c>
      <c r="G38" s="8" t="s">
        <v>209</v>
      </c>
      <c r="H38" s="8" t="s">
        <v>204</v>
      </c>
      <c r="I38" s="10"/>
      <c r="J38" s="10"/>
      <c r="K38" s="8" t="s">
        <v>68</v>
      </c>
      <c r="L38" s="8" t="s">
        <v>110</v>
      </c>
      <c r="M38" s="9" t="s">
        <v>46</v>
      </c>
      <c r="N38" s="10"/>
      <c r="O38" s="8" t="s">
        <v>248</v>
      </c>
      <c r="P38" s="8" t="s">
        <v>392</v>
      </c>
      <c r="Q38" s="9" t="s">
        <v>374</v>
      </c>
      <c r="R38" s="10"/>
      <c r="S38" s="41" t="str">
        <f>"435,0"</f>
        <v>435,0</v>
      </c>
      <c r="T38" s="10" t="str">
        <f>"377,9715"</f>
        <v>377,9715</v>
      </c>
      <c r="U38" s="7" t="s">
        <v>158</v>
      </c>
    </row>
    <row r="39" spans="1:21">
      <c r="B39" s="5" t="s">
        <v>40</v>
      </c>
    </row>
    <row r="40" spans="1:21" ht="15.95">
      <c r="A40" s="102" t="s">
        <v>241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</row>
    <row r="41" spans="1:21">
      <c r="A41" s="13" t="s">
        <v>15</v>
      </c>
      <c r="B41" s="11" t="s">
        <v>962</v>
      </c>
      <c r="C41" s="11" t="s">
        <v>963</v>
      </c>
      <c r="D41" s="11" t="s">
        <v>964</v>
      </c>
      <c r="E41" s="11" t="str">
        <f>"0,7804"</f>
        <v>0,7804</v>
      </c>
      <c r="F41" s="11" t="s">
        <v>961</v>
      </c>
      <c r="G41" s="12" t="s">
        <v>209</v>
      </c>
      <c r="H41" s="21" t="s">
        <v>59</v>
      </c>
      <c r="I41" s="13"/>
      <c r="J41" s="13"/>
      <c r="K41" s="21" t="s">
        <v>36</v>
      </c>
      <c r="L41" s="12" t="s">
        <v>36</v>
      </c>
      <c r="M41" s="21" t="s">
        <v>38</v>
      </c>
      <c r="N41" s="13"/>
      <c r="O41" s="12" t="s">
        <v>152</v>
      </c>
      <c r="P41" s="21" t="s">
        <v>351</v>
      </c>
      <c r="Q41" s="21" t="s">
        <v>351</v>
      </c>
      <c r="R41" s="13"/>
      <c r="S41" s="37" t="str">
        <f>"390,0"</f>
        <v>390,0</v>
      </c>
      <c r="T41" s="13" t="str">
        <f>"304,3560"</f>
        <v>304,3560</v>
      </c>
      <c r="U41" s="11" t="s">
        <v>158</v>
      </c>
    </row>
    <row r="42" spans="1:21">
      <c r="A42" s="17" t="s">
        <v>15</v>
      </c>
      <c r="B42" s="14" t="s">
        <v>965</v>
      </c>
      <c r="C42" s="14" t="s">
        <v>966</v>
      </c>
      <c r="D42" s="14" t="s">
        <v>293</v>
      </c>
      <c r="E42" s="14" t="str">
        <f>"0,7738"</f>
        <v>0,7738</v>
      </c>
      <c r="F42" s="14" t="s">
        <v>594</v>
      </c>
      <c r="G42" s="15" t="s">
        <v>60</v>
      </c>
      <c r="H42" s="15" t="s">
        <v>248</v>
      </c>
      <c r="I42" s="16" t="s">
        <v>458</v>
      </c>
      <c r="J42" s="17"/>
      <c r="K42" s="15" t="s">
        <v>81</v>
      </c>
      <c r="L42" s="15" t="s">
        <v>36</v>
      </c>
      <c r="M42" s="15" t="s">
        <v>37</v>
      </c>
      <c r="N42" s="17"/>
      <c r="O42" s="15" t="s">
        <v>374</v>
      </c>
      <c r="P42" s="15" t="s">
        <v>436</v>
      </c>
      <c r="Q42" s="15" t="s">
        <v>442</v>
      </c>
      <c r="R42" s="17"/>
      <c r="S42" s="40" t="str">
        <f>"490,0"</f>
        <v>490,0</v>
      </c>
      <c r="T42" s="17" t="str">
        <f>"379,1620"</f>
        <v>379,1620</v>
      </c>
      <c r="U42" s="14" t="s">
        <v>967</v>
      </c>
    </row>
    <row r="43" spans="1:21">
      <c r="A43" s="17" t="s">
        <v>15</v>
      </c>
      <c r="B43" s="14" t="s">
        <v>968</v>
      </c>
      <c r="C43" s="14" t="s">
        <v>969</v>
      </c>
      <c r="D43" s="14" t="s">
        <v>970</v>
      </c>
      <c r="E43" s="14" t="str">
        <f>"0,7710"</f>
        <v>0,7710</v>
      </c>
      <c r="F43" s="14" t="s">
        <v>176</v>
      </c>
      <c r="G43" s="15" t="s">
        <v>248</v>
      </c>
      <c r="H43" s="15" t="s">
        <v>398</v>
      </c>
      <c r="I43" s="15" t="s">
        <v>392</v>
      </c>
      <c r="J43" s="17"/>
      <c r="K43" s="15" t="s">
        <v>56</v>
      </c>
      <c r="L43" s="15" t="s">
        <v>162</v>
      </c>
      <c r="M43" s="15" t="s">
        <v>145</v>
      </c>
      <c r="N43" s="17"/>
      <c r="O43" s="15" t="s">
        <v>420</v>
      </c>
      <c r="P43" s="15" t="s">
        <v>442</v>
      </c>
      <c r="Q43" s="16" t="s">
        <v>421</v>
      </c>
      <c r="R43" s="17"/>
      <c r="S43" s="40" t="str">
        <f>"540,0"</f>
        <v>540,0</v>
      </c>
      <c r="T43" s="17" t="str">
        <f>"416,3400"</f>
        <v>416,3400</v>
      </c>
      <c r="U43" s="14" t="s">
        <v>971</v>
      </c>
    </row>
    <row r="44" spans="1:21">
      <c r="A44" s="17" t="s">
        <v>62</v>
      </c>
      <c r="B44" s="14" t="s">
        <v>965</v>
      </c>
      <c r="C44" s="14" t="s">
        <v>972</v>
      </c>
      <c r="D44" s="14" t="s">
        <v>293</v>
      </c>
      <c r="E44" s="14" t="str">
        <f>"0,7738"</f>
        <v>0,7738</v>
      </c>
      <c r="F44" s="14" t="s">
        <v>594</v>
      </c>
      <c r="G44" s="15" t="s">
        <v>60</v>
      </c>
      <c r="H44" s="15" t="s">
        <v>248</v>
      </c>
      <c r="I44" s="16" t="s">
        <v>458</v>
      </c>
      <c r="J44" s="17"/>
      <c r="K44" s="15" t="s">
        <v>81</v>
      </c>
      <c r="L44" s="15" t="s">
        <v>36</v>
      </c>
      <c r="M44" s="15" t="s">
        <v>37</v>
      </c>
      <c r="N44" s="17"/>
      <c r="O44" s="15" t="s">
        <v>374</v>
      </c>
      <c r="P44" s="15" t="s">
        <v>436</v>
      </c>
      <c r="Q44" s="15" t="s">
        <v>442</v>
      </c>
      <c r="R44" s="17"/>
      <c r="S44" s="40" t="str">
        <f>"490,0"</f>
        <v>490,0</v>
      </c>
      <c r="T44" s="17" t="str">
        <f>"379,1620"</f>
        <v>379,1620</v>
      </c>
      <c r="U44" s="14" t="s">
        <v>967</v>
      </c>
    </row>
    <row r="45" spans="1:21">
      <c r="A45" s="17" t="s">
        <v>15</v>
      </c>
      <c r="B45" s="14" t="s">
        <v>973</v>
      </c>
      <c r="C45" s="14" t="s">
        <v>974</v>
      </c>
      <c r="D45" s="14" t="s">
        <v>975</v>
      </c>
      <c r="E45" s="14" t="str">
        <f>"0,7729"</f>
        <v>0,7729</v>
      </c>
      <c r="F45" s="14" t="s">
        <v>594</v>
      </c>
      <c r="G45" s="15" t="s">
        <v>36</v>
      </c>
      <c r="H45" s="15" t="s">
        <v>56</v>
      </c>
      <c r="I45" s="15" t="s">
        <v>71</v>
      </c>
      <c r="J45" s="17"/>
      <c r="K45" s="15" t="s">
        <v>36</v>
      </c>
      <c r="L45" s="15" t="s">
        <v>49</v>
      </c>
      <c r="M45" s="15" t="s">
        <v>69</v>
      </c>
      <c r="N45" s="17"/>
      <c r="O45" s="15" t="s">
        <v>70</v>
      </c>
      <c r="P45" s="15" t="s">
        <v>59</v>
      </c>
      <c r="Q45" s="16" t="s">
        <v>205</v>
      </c>
      <c r="R45" s="17"/>
      <c r="S45" s="40" t="str">
        <f>"385,0"</f>
        <v>385,0</v>
      </c>
      <c r="T45" s="17" t="str">
        <f>"301,7324"</f>
        <v>301,7324</v>
      </c>
      <c r="U45" s="14" t="s">
        <v>976</v>
      </c>
    </row>
    <row r="46" spans="1:21">
      <c r="A46" s="17" t="s">
        <v>92</v>
      </c>
      <c r="B46" s="14" t="s">
        <v>977</v>
      </c>
      <c r="C46" s="14" t="s">
        <v>978</v>
      </c>
      <c r="D46" s="14" t="s">
        <v>979</v>
      </c>
      <c r="E46" s="14" t="str">
        <f>"0,7756"</f>
        <v>0,7756</v>
      </c>
      <c r="F46" s="14" t="s">
        <v>980</v>
      </c>
      <c r="G46" s="16" t="s">
        <v>38</v>
      </c>
      <c r="H46" s="16" t="s">
        <v>38</v>
      </c>
      <c r="I46" s="16" t="s">
        <v>38</v>
      </c>
      <c r="J46" s="17"/>
      <c r="K46" s="16"/>
      <c r="L46" s="17"/>
      <c r="M46" s="17"/>
      <c r="N46" s="17"/>
      <c r="O46" s="16"/>
      <c r="P46" s="17"/>
      <c r="Q46" s="17"/>
      <c r="R46" s="17"/>
      <c r="S46" s="40">
        <v>0</v>
      </c>
      <c r="T46" s="17" t="str">
        <f>"0,0000"</f>
        <v>0,0000</v>
      </c>
      <c r="U46" s="14" t="s">
        <v>981</v>
      </c>
    </row>
    <row r="47" spans="1:21">
      <c r="A47" s="20" t="s">
        <v>15</v>
      </c>
      <c r="B47" s="18" t="s">
        <v>982</v>
      </c>
      <c r="C47" s="18" t="s">
        <v>983</v>
      </c>
      <c r="D47" s="18" t="s">
        <v>984</v>
      </c>
      <c r="E47" s="18" t="str">
        <f>"0,8329"</f>
        <v>0,8329</v>
      </c>
      <c r="F47" s="18" t="s">
        <v>985</v>
      </c>
      <c r="G47" s="19" t="s">
        <v>69</v>
      </c>
      <c r="H47" s="19" t="s">
        <v>84</v>
      </c>
      <c r="I47" s="22" t="s">
        <v>85</v>
      </c>
      <c r="J47" s="20"/>
      <c r="K47" s="19" t="s">
        <v>20</v>
      </c>
      <c r="L47" s="19" t="s">
        <v>22</v>
      </c>
      <c r="M47" s="20"/>
      <c r="N47" s="20"/>
      <c r="O47" s="19" t="s">
        <v>58</v>
      </c>
      <c r="P47" s="19" t="s">
        <v>60</v>
      </c>
      <c r="Q47" s="19" t="s">
        <v>205</v>
      </c>
      <c r="R47" s="20"/>
      <c r="S47" s="38" t="str">
        <f>"315,0"</f>
        <v>315,0</v>
      </c>
      <c r="T47" s="20" t="str">
        <f>"540,4688"</f>
        <v>540,4688</v>
      </c>
      <c r="U47" s="18" t="s">
        <v>986</v>
      </c>
    </row>
    <row r="48" spans="1:21">
      <c r="B48" s="5" t="s">
        <v>40</v>
      </c>
    </row>
    <row r="49" spans="1:21" ht="15.95">
      <c r="A49" s="102" t="s">
        <v>301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</row>
    <row r="50" spans="1:21">
      <c r="A50" s="13" t="s">
        <v>15</v>
      </c>
      <c r="B50" s="11" t="s">
        <v>987</v>
      </c>
      <c r="C50" s="11" t="s">
        <v>988</v>
      </c>
      <c r="D50" s="11" t="s">
        <v>419</v>
      </c>
      <c r="E50" s="11" t="str">
        <f>"0,7166"</f>
        <v>0,7166</v>
      </c>
      <c r="F50" s="11" t="s">
        <v>989</v>
      </c>
      <c r="G50" s="21" t="s">
        <v>351</v>
      </c>
      <c r="H50" s="12" t="s">
        <v>351</v>
      </c>
      <c r="I50" s="21" t="s">
        <v>398</v>
      </c>
      <c r="J50" s="13"/>
      <c r="K50" s="12" t="s">
        <v>145</v>
      </c>
      <c r="L50" s="21" t="s">
        <v>157</v>
      </c>
      <c r="M50" s="12" t="s">
        <v>157</v>
      </c>
      <c r="N50" s="13"/>
      <c r="O50" s="12" t="s">
        <v>422</v>
      </c>
      <c r="P50" s="12" t="s">
        <v>490</v>
      </c>
      <c r="Q50" s="21" t="s">
        <v>990</v>
      </c>
      <c r="R50" s="13"/>
      <c r="S50" s="37" t="str">
        <f>"557,5"</f>
        <v>557,5</v>
      </c>
      <c r="T50" s="13" t="str">
        <f>"399,5045"</f>
        <v>399,5045</v>
      </c>
      <c r="U50" s="11" t="s">
        <v>991</v>
      </c>
    </row>
    <row r="51" spans="1:21">
      <c r="A51" s="17" t="s">
        <v>15</v>
      </c>
      <c r="B51" s="14" t="s">
        <v>992</v>
      </c>
      <c r="C51" s="14" t="s">
        <v>993</v>
      </c>
      <c r="D51" s="14" t="s">
        <v>994</v>
      </c>
      <c r="E51" s="14" t="str">
        <f>"0,7293"</f>
        <v>0,7293</v>
      </c>
      <c r="F51" s="14" t="s">
        <v>995</v>
      </c>
      <c r="G51" s="16" t="s">
        <v>248</v>
      </c>
      <c r="H51" s="15" t="s">
        <v>398</v>
      </c>
      <c r="I51" s="16" t="s">
        <v>392</v>
      </c>
      <c r="J51" s="17"/>
      <c r="K51" s="15" t="s">
        <v>69</v>
      </c>
      <c r="L51" s="15" t="s">
        <v>70</v>
      </c>
      <c r="M51" s="16" t="s">
        <v>71</v>
      </c>
      <c r="N51" s="17"/>
      <c r="O51" s="15" t="s">
        <v>436</v>
      </c>
      <c r="P51" s="15" t="s">
        <v>442</v>
      </c>
      <c r="Q51" s="15" t="s">
        <v>459</v>
      </c>
      <c r="R51" s="17"/>
      <c r="S51" s="40" t="str">
        <f>"535,0"</f>
        <v>535,0</v>
      </c>
      <c r="T51" s="17" t="str">
        <f>"390,1755"</f>
        <v>390,1755</v>
      </c>
      <c r="U51" s="14" t="s">
        <v>158</v>
      </c>
    </row>
    <row r="52" spans="1:21">
      <c r="A52" s="17" t="s">
        <v>15</v>
      </c>
      <c r="B52" s="14" t="s">
        <v>996</v>
      </c>
      <c r="C52" s="14" t="s">
        <v>997</v>
      </c>
      <c r="D52" s="14" t="s">
        <v>434</v>
      </c>
      <c r="E52" s="14" t="str">
        <f>"0,7152"</f>
        <v>0,7152</v>
      </c>
      <c r="F52" s="14" t="s">
        <v>176</v>
      </c>
      <c r="G52" s="15" t="s">
        <v>436</v>
      </c>
      <c r="H52" s="15" t="s">
        <v>442</v>
      </c>
      <c r="I52" s="16" t="s">
        <v>508</v>
      </c>
      <c r="J52" s="17"/>
      <c r="K52" s="15" t="s">
        <v>152</v>
      </c>
      <c r="L52" s="15" t="s">
        <v>248</v>
      </c>
      <c r="M52" s="15" t="s">
        <v>998</v>
      </c>
      <c r="N52" s="17"/>
      <c r="O52" s="16" t="s">
        <v>744</v>
      </c>
      <c r="P52" s="15" t="s">
        <v>744</v>
      </c>
      <c r="Q52" s="15" t="s">
        <v>999</v>
      </c>
      <c r="R52" s="17"/>
      <c r="S52" s="40" t="str">
        <f>"685,5"</f>
        <v>685,5</v>
      </c>
      <c r="T52" s="17" t="str">
        <f>"490,2696"</f>
        <v>490,2696</v>
      </c>
      <c r="U52" s="14" t="s">
        <v>1000</v>
      </c>
    </row>
    <row r="53" spans="1:21">
      <c r="A53" s="17" t="s">
        <v>62</v>
      </c>
      <c r="B53" s="14" t="s">
        <v>1001</v>
      </c>
      <c r="C53" s="14" t="s">
        <v>1002</v>
      </c>
      <c r="D53" s="14" t="s">
        <v>1003</v>
      </c>
      <c r="E53" s="14" t="str">
        <f>"0,7146"</f>
        <v>0,7146</v>
      </c>
      <c r="F53" s="14" t="s">
        <v>1004</v>
      </c>
      <c r="G53" s="15" t="s">
        <v>420</v>
      </c>
      <c r="H53" s="16" t="s">
        <v>421</v>
      </c>
      <c r="I53" s="15" t="s">
        <v>421</v>
      </c>
      <c r="J53" s="17"/>
      <c r="K53" s="15" t="s">
        <v>151</v>
      </c>
      <c r="L53" s="16" t="s">
        <v>248</v>
      </c>
      <c r="M53" s="15" t="s">
        <v>248</v>
      </c>
      <c r="N53" s="17"/>
      <c r="O53" s="15" t="s">
        <v>640</v>
      </c>
      <c r="P53" s="15" t="s">
        <v>745</v>
      </c>
      <c r="Q53" s="16" t="s">
        <v>1005</v>
      </c>
      <c r="R53" s="17"/>
      <c r="S53" s="40" t="str">
        <f>"685,0"</f>
        <v>685,0</v>
      </c>
      <c r="T53" s="17" t="str">
        <f>"489,5010"</f>
        <v>489,5010</v>
      </c>
      <c r="U53" s="14" t="s">
        <v>1006</v>
      </c>
    </row>
    <row r="54" spans="1:21">
      <c r="A54" s="17" t="s">
        <v>73</v>
      </c>
      <c r="B54" s="14" t="s">
        <v>1007</v>
      </c>
      <c r="C54" s="14" t="s">
        <v>1008</v>
      </c>
      <c r="D54" s="14" t="s">
        <v>308</v>
      </c>
      <c r="E54" s="14" t="str">
        <f>"0,7132"</f>
        <v>0,7132</v>
      </c>
      <c r="F54" s="14" t="s">
        <v>1009</v>
      </c>
      <c r="G54" s="15" t="s">
        <v>441</v>
      </c>
      <c r="H54" s="16" t="s">
        <v>442</v>
      </c>
      <c r="I54" s="15" t="s">
        <v>442</v>
      </c>
      <c r="J54" s="17"/>
      <c r="K54" s="15" t="s">
        <v>427</v>
      </c>
      <c r="L54" s="15" t="s">
        <v>550</v>
      </c>
      <c r="M54" s="16" t="s">
        <v>351</v>
      </c>
      <c r="N54" s="17"/>
      <c r="O54" s="15" t="s">
        <v>459</v>
      </c>
      <c r="P54" s="16" t="s">
        <v>627</v>
      </c>
      <c r="Q54" s="15" t="s">
        <v>627</v>
      </c>
      <c r="R54" s="17"/>
      <c r="S54" s="40" t="str">
        <f>"642,5"</f>
        <v>642,5</v>
      </c>
      <c r="T54" s="17" t="str">
        <f>"458,2310"</f>
        <v>458,2310</v>
      </c>
      <c r="U54" s="14" t="s">
        <v>1010</v>
      </c>
    </row>
    <row r="55" spans="1:21">
      <c r="A55" s="17" t="s">
        <v>75</v>
      </c>
      <c r="B55" s="14" t="s">
        <v>1011</v>
      </c>
      <c r="C55" s="14" t="s">
        <v>1012</v>
      </c>
      <c r="D55" s="14" t="s">
        <v>1013</v>
      </c>
      <c r="E55" s="14" t="str">
        <f>"0,7307"</f>
        <v>0,7307</v>
      </c>
      <c r="F55" s="14" t="s">
        <v>1014</v>
      </c>
      <c r="G55" s="15" t="s">
        <v>442</v>
      </c>
      <c r="H55" s="16" t="s">
        <v>421</v>
      </c>
      <c r="I55" s="15" t="s">
        <v>508</v>
      </c>
      <c r="J55" s="17"/>
      <c r="K55" s="15" t="s">
        <v>145</v>
      </c>
      <c r="L55" s="16" t="s">
        <v>209</v>
      </c>
      <c r="M55" s="16" t="s">
        <v>209</v>
      </c>
      <c r="N55" s="17"/>
      <c r="O55" s="15" t="s">
        <v>490</v>
      </c>
      <c r="P55" s="15" t="s">
        <v>523</v>
      </c>
      <c r="Q55" s="16" t="s">
        <v>744</v>
      </c>
      <c r="R55" s="17"/>
      <c r="S55" s="40" t="str">
        <f>"617,5"</f>
        <v>617,5</v>
      </c>
      <c r="T55" s="17" t="str">
        <f>"451,2073"</f>
        <v>451,2073</v>
      </c>
      <c r="U55" s="14" t="s">
        <v>1015</v>
      </c>
    </row>
    <row r="56" spans="1:21">
      <c r="A56" s="17" t="s">
        <v>87</v>
      </c>
      <c r="B56" s="14" t="s">
        <v>1016</v>
      </c>
      <c r="C56" s="14" t="s">
        <v>1017</v>
      </c>
      <c r="D56" s="14" t="s">
        <v>390</v>
      </c>
      <c r="E56" s="14" t="str">
        <f>"0,7200"</f>
        <v>0,7200</v>
      </c>
      <c r="F56" s="14" t="s">
        <v>1018</v>
      </c>
      <c r="G56" s="15" t="s">
        <v>398</v>
      </c>
      <c r="H56" s="16" t="s">
        <v>383</v>
      </c>
      <c r="I56" s="15" t="s">
        <v>374</v>
      </c>
      <c r="J56" s="17"/>
      <c r="K56" s="15" t="s">
        <v>71</v>
      </c>
      <c r="L56" s="15" t="s">
        <v>58</v>
      </c>
      <c r="M56" s="16" t="s">
        <v>59</v>
      </c>
      <c r="N56" s="17"/>
      <c r="O56" s="15" t="s">
        <v>421</v>
      </c>
      <c r="P56" s="15" t="s">
        <v>422</v>
      </c>
      <c r="Q56" s="15" t="s">
        <v>490</v>
      </c>
      <c r="R56" s="17"/>
      <c r="S56" s="40" t="str">
        <f>"590,0"</f>
        <v>590,0</v>
      </c>
      <c r="T56" s="17" t="str">
        <f>"424,8000"</f>
        <v>424,8000</v>
      </c>
      <c r="U56" s="14" t="s">
        <v>1019</v>
      </c>
    </row>
    <row r="57" spans="1:21">
      <c r="A57" s="20" t="s">
        <v>92</v>
      </c>
      <c r="B57" s="18" t="s">
        <v>1020</v>
      </c>
      <c r="C57" s="18" t="s">
        <v>1021</v>
      </c>
      <c r="D57" s="18" t="s">
        <v>1022</v>
      </c>
      <c r="E57" s="18" t="str">
        <f>"0,7221"</f>
        <v>0,7221</v>
      </c>
      <c r="F57" s="18" t="s">
        <v>1023</v>
      </c>
      <c r="G57" s="19" t="s">
        <v>58</v>
      </c>
      <c r="H57" s="19" t="s">
        <v>60</v>
      </c>
      <c r="I57" s="22" t="s">
        <v>151</v>
      </c>
      <c r="J57" s="20"/>
      <c r="K57" s="22" t="s">
        <v>36</v>
      </c>
      <c r="L57" s="22" t="s">
        <v>36</v>
      </c>
      <c r="M57" s="19" t="s">
        <v>36</v>
      </c>
      <c r="N57" s="20"/>
      <c r="O57" s="22" t="s">
        <v>392</v>
      </c>
      <c r="P57" s="20"/>
      <c r="Q57" s="20"/>
      <c r="R57" s="20"/>
      <c r="S57" s="38">
        <v>0</v>
      </c>
      <c r="T57" s="20" t="str">
        <f>"0,0000"</f>
        <v>0,0000</v>
      </c>
      <c r="U57" s="18" t="s">
        <v>158</v>
      </c>
    </row>
    <row r="58" spans="1:21">
      <c r="B58" s="5" t="s">
        <v>40</v>
      </c>
    </row>
    <row r="59" spans="1:21" ht="15.95">
      <c r="A59" s="102" t="s">
        <v>334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</row>
    <row r="60" spans="1:21">
      <c r="A60" s="13" t="s">
        <v>15</v>
      </c>
      <c r="B60" s="11" t="s">
        <v>1024</v>
      </c>
      <c r="C60" s="11" t="s">
        <v>1025</v>
      </c>
      <c r="D60" s="11" t="s">
        <v>539</v>
      </c>
      <c r="E60" s="11" t="str">
        <f>"0,6729"</f>
        <v>0,6729</v>
      </c>
      <c r="F60" s="11" t="s">
        <v>91</v>
      </c>
      <c r="G60" s="12" t="s">
        <v>56</v>
      </c>
      <c r="H60" s="12" t="s">
        <v>70</v>
      </c>
      <c r="I60" s="12" t="s">
        <v>85</v>
      </c>
      <c r="J60" s="13"/>
      <c r="K60" s="12" t="s">
        <v>67</v>
      </c>
      <c r="L60" s="12" t="s">
        <v>36</v>
      </c>
      <c r="M60" s="12" t="s">
        <v>68</v>
      </c>
      <c r="N60" s="13"/>
      <c r="O60" s="21" t="s">
        <v>346</v>
      </c>
      <c r="P60" s="12" t="s">
        <v>59</v>
      </c>
      <c r="Q60" s="12" t="s">
        <v>60</v>
      </c>
      <c r="R60" s="13"/>
      <c r="S60" s="37" t="str">
        <f>"370,0"</f>
        <v>370,0</v>
      </c>
      <c r="T60" s="13" t="str">
        <f>"248,9730"</f>
        <v>248,9730</v>
      </c>
      <c r="U60" s="11" t="s">
        <v>1026</v>
      </c>
    </row>
    <row r="61" spans="1:21">
      <c r="A61" s="17" t="s">
        <v>15</v>
      </c>
      <c r="B61" s="14" t="s">
        <v>1027</v>
      </c>
      <c r="C61" s="14" t="s">
        <v>1028</v>
      </c>
      <c r="D61" s="14" t="s">
        <v>488</v>
      </c>
      <c r="E61" s="14" t="str">
        <f>"0,6832"</f>
        <v>0,6832</v>
      </c>
      <c r="F61" s="14" t="s">
        <v>1029</v>
      </c>
      <c r="G61" s="16" t="s">
        <v>384</v>
      </c>
      <c r="H61" s="15" t="s">
        <v>442</v>
      </c>
      <c r="I61" s="15" t="s">
        <v>627</v>
      </c>
      <c r="J61" s="17"/>
      <c r="K61" s="15" t="s">
        <v>145</v>
      </c>
      <c r="L61" s="15" t="s">
        <v>209</v>
      </c>
      <c r="M61" s="15" t="s">
        <v>59</v>
      </c>
      <c r="N61" s="17"/>
      <c r="O61" s="15" t="s">
        <v>640</v>
      </c>
      <c r="P61" s="15" t="s">
        <v>822</v>
      </c>
      <c r="Q61" s="15" t="s">
        <v>804</v>
      </c>
      <c r="R61" s="16" t="s">
        <v>1030</v>
      </c>
      <c r="S61" s="40" t="str">
        <f>"690,0"</f>
        <v>690,0</v>
      </c>
      <c r="T61" s="17" t="str">
        <f>"471,4080"</f>
        <v>471,4080</v>
      </c>
      <c r="U61" s="14" t="s">
        <v>158</v>
      </c>
    </row>
    <row r="62" spans="1:21">
      <c r="A62" s="17" t="s">
        <v>62</v>
      </c>
      <c r="B62" s="14" t="s">
        <v>1031</v>
      </c>
      <c r="C62" s="14" t="s">
        <v>1032</v>
      </c>
      <c r="D62" s="14" t="s">
        <v>477</v>
      </c>
      <c r="E62" s="14" t="str">
        <f>"0,6785"</f>
        <v>0,6785</v>
      </c>
      <c r="F62" s="14" t="s">
        <v>1033</v>
      </c>
      <c r="G62" s="15" t="s">
        <v>436</v>
      </c>
      <c r="H62" s="15" t="s">
        <v>442</v>
      </c>
      <c r="I62" s="15" t="s">
        <v>507</v>
      </c>
      <c r="J62" s="17"/>
      <c r="K62" s="15" t="s">
        <v>162</v>
      </c>
      <c r="L62" s="15" t="s">
        <v>71</v>
      </c>
      <c r="M62" s="16" t="s">
        <v>209</v>
      </c>
      <c r="N62" s="17"/>
      <c r="O62" s="15" t="s">
        <v>645</v>
      </c>
      <c r="P62" s="16" t="s">
        <v>529</v>
      </c>
      <c r="Q62" s="15" t="s">
        <v>529</v>
      </c>
      <c r="R62" s="17"/>
      <c r="S62" s="40" t="str">
        <f>"612,5"</f>
        <v>612,5</v>
      </c>
      <c r="T62" s="17" t="str">
        <f>"415,5812"</f>
        <v>415,5812</v>
      </c>
      <c r="U62" s="14" t="s">
        <v>896</v>
      </c>
    </row>
    <row r="63" spans="1:21">
      <c r="A63" s="17" t="s">
        <v>73</v>
      </c>
      <c r="B63" s="14" t="s">
        <v>1034</v>
      </c>
      <c r="C63" s="14" t="s">
        <v>1035</v>
      </c>
      <c r="D63" s="14" t="s">
        <v>521</v>
      </c>
      <c r="E63" s="14" t="str">
        <f>"0,6754"</f>
        <v>0,6754</v>
      </c>
      <c r="F63" s="14" t="s">
        <v>1036</v>
      </c>
      <c r="G63" s="16" t="s">
        <v>436</v>
      </c>
      <c r="H63" s="15" t="s">
        <v>436</v>
      </c>
      <c r="I63" s="16" t="s">
        <v>442</v>
      </c>
      <c r="J63" s="17"/>
      <c r="K63" s="15" t="s">
        <v>58</v>
      </c>
      <c r="L63" s="16" t="s">
        <v>59</v>
      </c>
      <c r="M63" s="15" t="s">
        <v>59</v>
      </c>
      <c r="N63" s="17"/>
      <c r="O63" s="15" t="s">
        <v>422</v>
      </c>
      <c r="P63" s="16" t="s">
        <v>490</v>
      </c>
      <c r="Q63" s="16" t="s">
        <v>490</v>
      </c>
      <c r="R63" s="17"/>
      <c r="S63" s="40" t="str">
        <f>"600,0"</f>
        <v>600,0</v>
      </c>
      <c r="T63" s="17" t="str">
        <f>"405,2400"</f>
        <v>405,2400</v>
      </c>
      <c r="U63" s="14" t="s">
        <v>158</v>
      </c>
    </row>
    <row r="64" spans="1:21">
      <c r="A64" s="17" t="s">
        <v>75</v>
      </c>
      <c r="B64" s="14" t="s">
        <v>1037</v>
      </c>
      <c r="C64" s="14" t="s">
        <v>1038</v>
      </c>
      <c r="D64" s="14" t="s">
        <v>502</v>
      </c>
      <c r="E64" s="14" t="str">
        <f>"0,6764"</f>
        <v>0,6764</v>
      </c>
      <c r="F64" s="14" t="s">
        <v>1029</v>
      </c>
      <c r="G64" s="16" t="s">
        <v>399</v>
      </c>
      <c r="H64" s="15" t="s">
        <v>399</v>
      </c>
      <c r="I64" s="15" t="s">
        <v>436</v>
      </c>
      <c r="J64" s="17"/>
      <c r="K64" s="15" t="s">
        <v>157</v>
      </c>
      <c r="L64" s="15" t="s">
        <v>58</v>
      </c>
      <c r="M64" s="15" t="s">
        <v>346</v>
      </c>
      <c r="N64" s="17"/>
      <c r="O64" s="15" t="s">
        <v>422</v>
      </c>
      <c r="P64" s="16" t="s">
        <v>523</v>
      </c>
      <c r="Q64" s="16" t="s">
        <v>523</v>
      </c>
      <c r="R64" s="17"/>
      <c r="S64" s="40" t="str">
        <f>"597,5"</f>
        <v>597,5</v>
      </c>
      <c r="T64" s="17" t="str">
        <f>"404,1490"</f>
        <v>404,1490</v>
      </c>
      <c r="U64" s="14" t="s">
        <v>158</v>
      </c>
    </row>
    <row r="65" spans="1:21">
      <c r="A65" s="17" t="s">
        <v>15</v>
      </c>
      <c r="B65" s="14" t="s">
        <v>1039</v>
      </c>
      <c r="C65" s="14" t="s">
        <v>1040</v>
      </c>
      <c r="D65" s="14" t="s">
        <v>575</v>
      </c>
      <c r="E65" s="14" t="str">
        <f>"0,6704"</f>
        <v>0,6704</v>
      </c>
      <c r="F65" s="14" t="s">
        <v>1041</v>
      </c>
      <c r="G65" s="15" t="s">
        <v>627</v>
      </c>
      <c r="H65" s="15" t="s">
        <v>529</v>
      </c>
      <c r="I65" s="15" t="s">
        <v>1042</v>
      </c>
      <c r="J65" s="17"/>
      <c r="K65" s="15" t="s">
        <v>392</v>
      </c>
      <c r="L65" s="15" t="s">
        <v>506</v>
      </c>
      <c r="M65" s="16" t="s">
        <v>374</v>
      </c>
      <c r="N65" s="17"/>
      <c r="O65" s="15" t="s">
        <v>822</v>
      </c>
      <c r="P65" s="15" t="s">
        <v>804</v>
      </c>
      <c r="Q65" s="15" t="s">
        <v>1043</v>
      </c>
      <c r="R65" s="17"/>
      <c r="S65" s="40" t="str">
        <f>"770,0"</f>
        <v>770,0</v>
      </c>
      <c r="T65" s="17" t="str">
        <f>"516,2080"</f>
        <v>516,2080</v>
      </c>
      <c r="U65" s="14" t="s">
        <v>1044</v>
      </c>
    </row>
    <row r="66" spans="1:21">
      <c r="A66" s="17" t="s">
        <v>62</v>
      </c>
      <c r="B66" s="14" t="s">
        <v>1045</v>
      </c>
      <c r="C66" s="14" t="s">
        <v>1046</v>
      </c>
      <c r="D66" s="14" t="s">
        <v>554</v>
      </c>
      <c r="E66" s="14" t="str">
        <f>"0,6739"</f>
        <v>0,6739</v>
      </c>
      <c r="F66" s="14" t="s">
        <v>1047</v>
      </c>
      <c r="G66" s="16" t="s">
        <v>523</v>
      </c>
      <c r="H66" s="15" t="s">
        <v>523</v>
      </c>
      <c r="I66" s="15" t="s">
        <v>754</v>
      </c>
      <c r="J66" s="17"/>
      <c r="K66" s="15" t="s">
        <v>60</v>
      </c>
      <c r="L66" s="16" t="s">
        <v>151</v>
      </c>
      <c r="M66" s="16" t="s">
        <v>151</v>
      </c>
      <c r="N66" s="17"/>
      <c r="O66" s="15" t="s">
        <v>422</v>
      </c>
      <c r="P66" s="15" t="s">
        <v>529</v>
      </c>
      <c r="Q66" s="16" t="s">
        <v>1042</v>
      </c>
      <c r="R66" s="17"/>
      <c r="S66" s="40" t="str">
        <f>"680,0"</f>
        <v>680,0</v>
      </c>
      <c r="T66" s="17" t="str">
        <f>"458,2520"</f>
        <v>458,2520</v>
      </c>
      <c r="U66" s="14" t="s">
        <v>1048</v>
      </c>
    </row>
    <row r="67" spans="1:21">
      <c r="A67" s="17" t="s">
        <v>73</v>
      </c>
      <c r="B67" s="14" t="s">
        <v>1049</v>
      </c>
      <c r="C67" s="14" t="s">
        <v>1050</v>
      </c>
      <c r="D67" s="14" t="s">
        <v>1051</v>
      </c>
      <c r="E67" s="14" t="str">
        <f>"0,6806"</f>
        <v>0,6806</v>
      </c>
      <c r="F67" s="14" t="s">
        <v>222</v>
      </c>
      <c r="G67" s="16" t="s">
        <v>420</v>
      </c>
      <c r="H67" s="15" t="s">
        <v>420</v>
      </c>
      <c r="I67" s="16" t="s">
        <v>508</v>
      </c>
      <c r="J67" s="17"/>
      <c r="K67" s="15" t="s">
        <v>59</v>
      </c>
      <c r="L67" s="15" t="s">
        <v>342</v>
      </c>
      <c r="M67" s="15" t="s">
        <v>254</v>
      </c>
      <c r="N67" s="17"/>
      <c r="O67" s="15" t="s">
        <v>523</v>
      </c>
      <c r="P67" s="15" t="s">
        <v>754</v>
      </c>
      <c r="Q67" s="15" t="s">
        <v>745</v>
      </c>
      <c r="R67" s="17"/>
      <c r="S67" s="40" t="str">
        <f>"662,5"</f>
        <v>662,5</v>
      </c>
      <c r="T67" s="17" t="str">
        <f>"450,8975"</f>
        <v>450,8975</v>
      </c>
      <c r="U67" s="14" t="s">
        <v>223</v>
      </c>
    </row>
    <row r="68" spans="1:21">
      <c r="A68" s="20" t="s">
        <v>75</v>
      </c>
      <c r="B68" s="18" t="s">
        <v>1052</v>
      </c>
      <c r="C68" s="18" t="s">
        <v>1053</v>
      </c>
      <c r="D68" s="18" t="s">
        <v>516</v>
      </c>
      <c r="E68" s="18" t="str">
        <f>"0,6714"</f>
        <v>0,6714</v>
      </c>
      <c r="F68" s="18" t="s">
        <v>31</v>
      </c>
      <c r="G68" s="19" t="s">
        <v>421</v>
      </c>
      <c r="H68" s="19" t="s">
        <v>422</v>
      </c>
      <c r="I68" s="22" t="s">
        <v>490</v>
      </c>
      <c r="J68" s="20"/>
      <c r="K68" s="19" t="s">
        <v>58</v>
      </c>
      <c r="L68" s="19" t="s">
        <v>204</v>
      </c>
      <c r="M68" s="19" t="s">
        <v>342</v>
      </c>
      <c r="N68" s="20"/>
      <c r="O68" s="19" t="s">
        <v>422</v>
      </c>
      <c r="P68" s="19" t="s">
        <v>529</v>
      </c>
      <c r="Q68" s="22" t="s">
        <v>491</v>
      </c>
      <c r="R68" s="20"/>
      <c r="S68" s="38" t="str">
        <f>"647,5"</f>
        <v>647,5</v>
      </c>
      <c r="T68" s="20" t="str">
        <f>"434,7315"</f>
        <v>434,7315</v>
      </c>
      <c r="U68" s="18" t="s">
        <v>1054</v>
      </c>
    </row>
    <row r="69" spans="1:21">
      <c r="B69" s="5" t="s">
        <v>40</v>
      </c>
    </row>
    <row r="70" spans="1:21" ht="15.95">
      <c r="A70" s="102" t="s">
        <v>598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</row>
    <row r="71" spans="1:21">
      <c r="A71" s="13" t="s">
        <v>15</v>
      </c>
      <c r="B71" s="11" t="s">
        <v>1055</v>
      </c>
      <c r="C71" s="11" t="s">
        <v>1056</v>
      </c>
      <c r="D71" s="11" t="s">
        <v>1057</v>
      </c>
      <c r="E71" s="11" t="str">
        <f>"0,6628"</f>
        <v>0,6628</v>
      </c>
      <c r="F71" s="11" t="s">
        <v>961</v>
      </c>
      <c r="G71" s="12" t="s">
        <v>374</v>
      </c>
      <c r="H71" s="21" t="s">
        <v>1058</v>
      </c>
      <c r="I71" s="12" t="s">
        <v>1058</v>
      </c>
      <c r="J71" s="13"/>
      <c r="K71" s="12" t="s">
        <v>209</v>
      </c>
      <c r="L71" s="21" t="s">
        <v>59</v>
      </c>
      <c r="M71" s="12" t="s">
        <v>59</v>
      </c>
      <c r="N71" s="13"/>
      <c r="O71" s="12" t="s">
        <v>436</v>
      </c>
      <c r="P71" s="12" t="s">
        <v>421</v>
      </c>
      <c r="Q71" s="12" t="s">
        <v>1059</v>
      </c>
      <c r="R71" s="13"/>
      <c r="S71" s="37" t="str">
        <f>"607,0"</f>
        <v>607,0</v>
      </c>
      <c r="T71" s="13" t="str">
        <f>"402,3196"</f>
        <v>402,3196</v>
      </c>
      <c r="U71" s="11" t="s">
        <v>158</v>
      </c>
    </row>
    <row r="72" spans="1:21">
      <c r="A72" s="17" t="s">
        <v>15</v>
      </c>
      <c r="B72" s="14" t="s">
        <v>1060</v>
      </c>
      <c r="C72" s="14" t="s">
        <v>1061</v>
      </c>
      <c r="D72" s="14" t="s">
        <v>1062</v>
      </c>
      <c r="E72" s="14" t="str">
        <f>"0,6388"</f>
        <v>0,6388</v>
      </c>
      <c r="F72" s="14" t="s">
        <v>1063</v>
      </c>
      <c r="G72" s="15" t="s">
        <v>384</v>
      </c>
      <c r="H72" s="16" t="s">
        <v>436</v>
      </c>
      <c r="I72" s="15" t="s">
        <v>436</v>
      </c>
      <c r="J72" s="17"/>
      <c r="K72" s="15" t="s">
        <v>205</v>
      </c>
      <c r="L72" s="15" t="s">
        <v>151</v>
      </c>
      <c r="M72" s="16" t="s">
        <v>347</v>
      </c>
      <c r="N72" s="17"/>
      <c r="O72" s="15" t="s">
        <v>421</v>
      </c>
      <c r="P72" s="15" t="s">
        <v>422</v>
      </c>
      <c r="Q72" s="16" t="s">
        <v>627</v>
      </c>
      <c r="R72" s="17"/>
      <c r="S72" s="40" t="str">
        <f>"615,0"</f>
        <v>615,0</v>
      </c>
      <c r="T72" s="17" t="str">
        <f>"392,8620"</f>
        <v>392,8620</v>
      </c>
      <c r="U72" s="14" t="s">
        <v>158</v>
      </c>
    </row>
    <row r="73" spans="1:21">
      <c r="A73" s="17" t="s">
        <v>62</v>
      </c>
      <c r="B73" s="14" t="s">
        <v>1064</v>
      </c>
      <c r="C73" s="14" t="s">
        <v>1065</v>
      </c>
      <c r="D73" s="14" t="s">
        <v>1066</v>
      </c>
      <c r="E73" s="14" t="str">
        <f>"0,6471"</f>
        <v>0,6471</v>
      </c>
      <c r="F73" s="14" t="s">
        <v>1067</v>
      </c>
      <c r="G73" s="15" t="s">
        <v>383</v>
      </c>
      <c r="H73" s="15" t="s">
        <v>384</v>
      </c>
      <c r="I73" s="15" t="s">
        <v>420</v>
      </c>
      <c r="J73" s="17"/>
      <c r="K73" s="15" t="s">
        <v>58</v>
      </c>
      <c r="L73" s="15" t="s">
        <v>204</v>
      </c>
      <c r="M73" s="16" t="s">
        <v>342</v>
      </c>
      <c r="N73" s="17"/>
      <c r="O73" s="16" t="s">
        <v>422</v>
      </c>
      <c r="P73" s="16" t="s">
        <v>422</v>
      </c>
      <c r="Q73" s="15" t="s">
        <v>422</v>
      </c>
      <c r="R73" s="17"/>
      <c r="S73" s="40" t="str">
        <f>"607,5"</f>
        <v>607,5</v>
      </c>
      <c r="T73" s="17" t="str">
        <f>"393,1132"</f>
        <v>393,1132</v>
      </c>
      <c r="U73" s="14" t="s">
        <v>158</v>
      </c>
    </row>
    <row r="74" spans="1:21">
      <c r="A74" s="17" t="s">
        <v>73</v>
      </c>
      <c r="B74" s="14" t="s">
        <v>1068</v>
      </c>
      <c r="C74" s="14" t="s">
        <v>1069</v>
      </c>
      <c r="D74" s="14" t="s">
        <v>1070</v>
      </c>
      <c r="E74" s="14" t="str">
        <f>"0,6424"</f>
        <v>0,6424</v>
      </c>
      <c r="F74" s="14" t="s">
        <v>1029</v>
      </c>
      <c r="G74" s="15" t="s">
        <v>383</v>
      </c>
      <c r="H74" s="15" t="s">
        <v>455</v>
      </c>
      <c r="I74" s="15" t="s">
        <v>495</v>
      </c>
      <c r="J74" s="17"/>
      <c r="K74" s="15" t="s">
        <v>209</v>
      </c>
      <c r="L74" s="15" t="s">
        <v>58</v>
      </c>
      <c r="M74" s="15" t="s">
        <v>346</v>
      </c>
      <c r="N74" s="17"/>
      <c r="O74" s="15" t="s">
        <v>436</v>
      </c>
      <c r="P74" s="15" t="s">
        <v>442</v>
      </c>
      <c r="Q74" s="16" t="s">
        <v>421</v>
      </c>
      <c r="R74" s="17"/>
      <c r="S74" s="40" t="str">
        <f>"580,0"</f>
        <v>580,0</v>
      </c>
      <c r="T74" s="17" t="str">
        <f>"372,5920"</f>
        <v>372,5920</v>
      </c>
      <c r="U74" s="14" t="s">
        <v>158</v>
      </c>
    </row>
    <row r="75" spans="1:21">
      <c r="A75" s="17" t="s">
        <v>75</v>
      </c>
      <c r="B75" s="14" t="s">
        <v>1071</v>
      </c>
      <c r="C75" s="14" t="s">
        <v>1072</v>
      </c>
      <c r="D75" s="14" t="s">
        <v>1073</v>
      </c>
      <c r="E75" s="14" t="str">
        <f>"0,6642"</f>
        <v>0,6642</v>
      </c>
      <c r="F75" s="14" t="s">
        <v>125</v>
      </c>
      <c r="G75" s="15" t="s">
        <v>392</v>
      </c>
      <c r="H75" s="16" t="s">
        <v>374</v>
      </c>
      <c r="I75" s="16" t="s">
        <v>374</v>
      </c>
      <c r="J75" s="17"/>
      <c r="K75" s="15" t="s">
        <v>145</v>
      </c>
      <c r="L75" s="15" t="s">
        <v>157</v>
      </c>
      <c r="M75" s="16" t="s">
        <v>58</v>
      </c>
      <c r="N75" s="17"/>
      <c r="O75" s="15" t="s">
        <v>398</v>
      </c>
      <c r="P75" s="15" t="s">
        <v>392</v>
      </c>
      <c r="Q75" s="15" t="s">
        <v>384</v>
      </c>
      <c r="R75" s="17"/>
      <c r="S75" s="40" t="str">
        <f>"532,5"</f>
        <v>532,5</v>
      </c>
      <c r="T75" s="17" t="str">
        <f>"353,6865"</f>
        <v>353,6865</v>
      </c>
      <c r="U75" s="14" t="s">
        <v>126</v>
      </c>
    </row>
    <row r="76" spans="1:21">
      <c r="A76" s="17" t="s">
        <v>15</v>
      </c>
      <c r="B76" s="14" t="s">
        <v>1074</v>
      </c>
      <c r="C76" s="14" t="s">
        <v>1075</v>
      </c>
      <c r="D76" s="14" t="s">
        <v>1076</v>
      </c>
      <c r="E76" s="14" t="str">
        <f>"0,6447"</f>
        <v>0,6447</v>
      </c>
      <c r="F76" s="14" t="s">
        <v>1077</v>
      </c>
      <c r="G76" s="15" t="s">
        <v>523</v>
      </c>
      <c r="H76" s="15" t="s">
        <v>640</v>
      </c>
      <c r="I76" s="16" t="s">
        <v>754</v>
      </c>
      <c r="J76" s="17"/>
      <c r="K76" s="15" t="s">
        <v>368</v>
      </c>
      <c r="L76" s="15" t="s">
        <v>392</v>
      </c>
      <c r="M76" s="15" t="s">
        <v>383</v>
      </c>
      <c r="N76" s="17"/>
      <c r="O76" s="15" t="s">
        <v>822</v>
      </c>
      <c r="P76" s="15" t="s">
        <v>1030</v>
      </c>
      <c r="Q76" s="15" t="s">
        <v>1078</v>
      </c>
      <c r="R76" s="17"/>
      <c r="S76" s="40" t="str">
        <f>"780,0"</f>
        <v>780,0</v>
      </c>
      <c r="T76" s="17" t="str">
        <f>"502,8660"</f>
        <v>502,8660</v>
      </c>
      <c r="U76" s="14" t="s">
        <v>1044</v>
      </c>
    </row>
    <row r="77" spans="1:21">
      <c r="A77" s="17" t="s">
        <v>62</v>
      </c>
      <c r="B77" s="14" t="s">
        <v>1079</v>
      </c>
      <c r="C77" s="14" t="s">
        <v>1080</v>
      </c>
      <c r="D77" s="14" t="s">
        <v>1081</v>
      </c>
      <c r="E77" s="14" t="str">
        <f>"0,6384"</f>
        <v>0,6384</v>
      </c>
      <c r="F77" s="14" t="s">
        <v>91</v>
      </c>
      <c r="G77" s="15" t="s">
        <v>422</v>
      </c>
      <c r="H77" s="15" t="s">
        <v>523</v>
      </c>
      <c r="I77" s="16" t="s">
        <v>640</v>
      </c>
      <c r="J77" s="17"/>
      <c r="K77" s="15" t="s">
        <v>351</v>
      </c>
      <c r="L77" s="15" t="s">
        <v>368</v>
      </c>
      <c r="M77" s="16" t="s">
        <v>392</v>
      </c>
      <c r="N77" s="17"/>
      <c r="O77" s="15" t="s">
        <v>523</v>
      </c>
      <c r="P77" s="16" t="s">
        <v>754</v>
      </c>
      <c r="Q77" s="15" t="s">
        <v>754</v>
      </c>
      <c r="R77" s="17"/>
      <c r="S77" s="40" t="str">
        <f>"720,0"</f>
        <v>720,0</v>
      </c>
      <c r="T77" s="17" t="str">
        <f>"459,6480"</f>
        <v>459,6480</v>
      </c>
      <c r="U77" s="14" t="s">
        <v>1082</v>
      </c>
    </row>
    <row r="78" spans="1:21">
      <c r="A78" s="17" t="s">
        <v>73</v>
      </c>
      <c r="B78" s="14" t="s">
        <v>1083</v>
      </c>
      <c r="C78" s="14" t="s">
        <v>1084</v>
      </c>
      <c r="D78" s="14" t="s">
        <v>1085</v>
      </c>
      <c r="E78" s="14" t="str">
        <f>"0,6455"</f>
        <v>0,6455</v>
      </c>
      <c r="F78" s="14" t="s">
        <v>338</v>
      </c>
      <c r="G78" s="15" t="s">
        <v>436</v>
      </c>
      <c r="H78" s="16" t="s">
        <v>442</v>
      </c>
      <c r="I78" s="16" t="s">
        <v>442</v>
      </c>
      <c r="J78" s="17"/>
      <c r="K78" s="15" t="s">
        <v>351</v>
      </c>
      <c r="L78" s="16" t="s">
        <v>368</v>
      </c>
      <c r="M78" s="16" t="s">
        <v>368</v>
      </c>
      <c r="N78" s="17"/>
      <c r="O78" s="15" t="s">
        <v>804</v>
      </c>
      <c r="P78" s="15" t="s">
        <v>1086</v>
      </c>
      <c r="Q78" s="16" t="s">
        <v>1087</v>
      </c>
      <c r="R78" s="17"/>
      <c r="S78" s="40" t="str">
        <f>"710,0"</f>
        <v>710,0</v>
      </c>
      <c r="T78" s="17" t="str">
        <f>"458,3050"</f>
        <v>458,3050</v>
      </c>
      <c r="U78" s="14" t="s">
        <v>158</v>
      </c>
    </row>
    <row r="79" spans="1:21">
      <c r="A79" s="17" t="s">
        <v>75</v>
      </c>
      <c r="B79" s="14" t="s">
        <v>1088</v>
      </c>
      <c r="C79" s="14" t="s">
        <v>1089</v>
      </c>
      <c r="D79" s="14" t="s">
        <v>632</v>
      </c>
      <c r="E79" s="14" t="str">
        <f>"0,6428"</f>
        <v>0,6428</v>
      </c>
      <c r="F79" s="14" t="s">
        <v>1090</v>
      </c>
      <c r="G79" s="15" t="s">
        <v>523</v>
      </c>
      <c r="H79" s="15" t="s">
        <v>491</v>
      </c>
      <c r="I79" s="16" t="s">
        <v>640</v>
      </c>
      <c r="J79" s="17"/>
      <c r="K79" s="15" t="s">
        <v>151</v>
      </c>
      <c r="L79" s="16" t="s">
        <v>152</v>
      </c>
      <c r="M79" s="16" t="s">
        <v>152</v>
      </c>
      <c r="N79" s="17"/>
      <c r="O79" s="16" t="s">
        <v>738</v>
      </c>
      <c r="P79" s="16" t="s">
        <v>738</v>
      </c>
      <c r="Q79" s="15" t="s">
        <v>803</v>
      </c>
      <c r="R79" s="17"/>
      <c r="S79" s="40" t="str">
        <f>"707,5"</f>
        <v>707,5</v>
      </c>
      <c r="T79" s="17" t="str">
        <f>"454,7810"</f>
        <v>454,7810</v>
      </c>
      <c r="U79" s="14" t="s">
        <v>1091</v>
      </c>
    </row>
    <row r="80" spans="1:21">
      <c r="A80" s="17" t="s">
        <v>87</v>
      </c>
      <c r="B80" s="14" t="s">
        <v>1092</v>
      </c>
      <c r="C80" s="14" t="s">
        <v>1093</v>
      </c>
      <c r="D80" s="14" t="s">
        <v>1062</v>
      </c>
      <c r="E80" s="14" t="str">
        <f>"0,6388"</f>
        <v>0,6388</v>
      </c>
      <c r="F80" s="14" t="s">
        <v>1094</v>
      </c>
      <c r="G80" s="15" t="s">
        <v>421</v>
      </c>
      <c r="H80" s="15" t="s">
        <v>422</v>
      </c>
      <c r="I80" s="15" t="s">
        <v>490</v>
      </c>
      <c r="J80" s="17"/>
      <c r="K80" s="15" t="s">
        <v>427</v>
      </c>
      <c r="L80" s="15" t="s">
        <v>550</v>
      </c>
      <c r="M80" s="15" t="s">
        <v>398</v>
      </c>
      <c r="N80" s="17"/>
      <c r="O80" s="15" t="s">
        <v>627</v>
      </c>
      <c r="P80" s="15" t="s">
        <v>523</v>
      </c>
      <c r="Q80" s="15" t="s">
        <v>640</v>
      </c>
      <c r="R80" s="17"/>
      <c r="S80" s="40" t="str">
        <f>"700,0"</f>
        <v>700,0</v>
      </c>
      <c r="T80" s="17" t="str">
        <f>"447,1600"</f>
        <v>447,1600</v>
      </c>
      <c r="U80" s="14" t="s">
        <v>158</v>
      </c>
    </row>
    <row r="81" spans="1:21">
      <c r="A81" s="17" t="s">
        <v>168</v>
      </c>
      <c r="B81" s="14" t="s">
        <v>1095</v>
      </c>
      <c r="C81" s="14" t="s">
        <v>1096</v>
      </c>
      <c r="D81" s="14" t="s">
        <v>1097</v>
      </c>
      <c r="E81" s="14" t="str">
        <f>"0,6566"</f>
        <v>0,6566</v>
      </c>
      <c r="F81" s="14" t="s">
        <v>906</v>
      </c>
      <c r="G81" s="15" t="s">
        <v>436</v>
      </c>
      <c r="H81" s="15" t="s">
        <v>442</v>
      </c>
      <c r="I81" s="15" t="s">
        <v>421</v>
      </c>
      <c r="J81" s="17"/>
      <c r="K81" s="15" t="s">
        <v>60</v>
      </c>
      <c r="L81" s="15" t="s">
        <v>151</v>
      </c>
      <c r="M81" s="15" t="s">
        <v>347</v>
      </c>
      <c r="N81" s="17"/>
      <c r="O81" s="15" t="s">
        <v>523</v>
      </c>
      <c r="P81" s="15" t="s">
        <v>754</v>
      </c>
      <c r="Q81" s="16" t="s">
        <v>738</v>
      </c>
      <c r="R81" s="17"/>
      <c r="S81" s="40" t="str">
        <f>"672,5"</f>
        <v>672,5</v>
      </c>
      <c r="T81" s="17" t="str">
        <f>"441,5635"</f>
        <v>441,5635</v>
      </c>
      <c r="U81" s="14" t="s">
        <v>1098</v>
      </c>
    </row>
    <row r="82" spans="1:21">
      <c r="A82" s="17" t="s">
        <v>172</v>
      </c>
      <c r="B82" s="14" t="s">
        <v>1099</v>
      </c>
      <c r="C82" s="14" t="s">
        <v>1100</v>
      </c>
      <c r="D82" s="14" t="s">
        <v>1101</v>
      </c>
      <c r="E82" s="14" t="str">
        <f>"0,6540"</f>
        <v>0,6540</v>
      </c>
      <c r="F82" s="14" t="s">
        <v>728</v>
      </c>
      <c r="G82" s="15" t="s">
        <v>399</v>
      </c>
      <c r="H82" s="15" t="s">
        <v>436</v>
      </c>
      <c r="I82" s="15" t="s">
        <v>442</v>
      </c>
      <c r="J82" s="17"/>
      <c r="K82" s="15" t="s">
        <v>59</v>
      </c>
      <c r="L82" s="15" t="s">
        <v>60</v>
      </c>
      <c r="M82" s="15" t="s">
        <v>205</v>
      </c>
      <c r="N82" s="17"/>
      <c r="O82" s="15" t="s">
        <v>422</v>
      </c>
      <c r="P82" s="16" t="s">
        <v>431</v>
      </c>
      <c r="Q82" s="16" t="s">
        <v>431</v>
      </c>
      <c r="R82" s="17"/>
      <c r="S82" s="40" t="str">
        <f>"620,0"</f>
        <v>620,0</v>
      </c>
      <c r="T82" s="17" t="str">
        <f>"405,4800"</f>
        <v>405,4800</v>
      </c>
      <c r="U82" s="14" t="s">
        <v>1102</v>
      </c>
    </row>
    <row r="83" spans="1:21">
      <c r="A83" s="17" t="s">
        <v>92</v>
      </c>
      <c r="B83" s="14" t="s">
        <v>1103</v>
      </c>
      <c r="C83" s="14" t="s">
        <v>1104</v>
      </c>
      <c r="D83" s="14" t="s">
        <v>1081</v>
      </c>
      <c r="E83" s="14" t="str">
        <f>"0,6384"</f>
        <v>0,6384</v>
      </c>
      <c r="F83" s="14" t="s">
        <v>1105</v>
      </c>
      <c r="G83" s="16" t="s">
        <v>420</v>
      </c>
      <c r="H83" s="16" t="s">
        <v>420</v>
      </c>
      <c r="I83" s="16" t="s">
        <v>420</v>
      </c>
      <c r="J83" s="17"/>
      <c r="K83" s="17"/>
      <c r="L83" s="17"/>
      <c r="M83" s="17"/>
      <c r="N83" s="17"/>
      <c r="O83" s="17"/>
      <c r="P83" s="17"/>
      <c r="Q83" s="17"/>
      <c r="R83" s="17"/>
      <c r="S83" s="40">
        <v>0</v>
      </c>
      <c r="T83" s="17" t="str">
        <f>"0,0000"</f>
        <v>0,0000</v>
      </c>
      <c r="U83" s="14" t="s">
        <v>158</v>
      </c>
    </row>
    <row r="84" spans="1:21">
      <c r="A84" s="17" t="s">
        <v>15</v>
      </c>
      <c r="B84" s="14" t="s">
        <v>1106</v>
      </c>
      <c r="C84" s="14" t="s">
        <v>1107</v>
      </c>
      <c r="D84" s="14" t="s">
        <v>660</v>
      </c>
      <c r="E84" s="14" t="str">
        <f>"0,6417"</f>
        <v>0,6417</v>
      </c>
      <c r="F84" s="14" t="s">
        <v>91</v>
      </c>
      <c r="G84" s="15" t="s">
        <v>454</v>
      </c>
      <c r="H84" s="15" t="s">
        <v>743</v>
      </c>
      <c r="I84" s="15" t="s">
        <v>495</v>
      </c>
      <c r="J84" s="17"/>
      <c r="K84" s="15" t="s">
        <v>209</v>
      </c>
      <c r="L84" s="15" t="s">
        <v>58</v>
      </c>
      <c r="M84" s="16" t="s">
        <v>346</v>
      </c>
      <c r="N84" s="17"/>
      <c r="O84" s="15" t="s">
        <v>459</v>
      </c>
      <c r="P84" s="15" t="s">
        <v>437</v>
      </c>
      <c r="Q84" s="15" t="s">
        <v>490</v>
      </c>
      <c r="R84" s="17"/>
      <c r="S84" s="40" t="str">
        <f>"602,5"</f>
        <v>602,5</v>
      </c>
      <c r="T84" s="17" t="str">
        <f>"397,4497"</f>
        <v>397,4497</v>
      </c>
      <c r="U84" s="14" t="s">
        <v>213</v>
      </c>
    </row>
    <row r="85" spans="1:21">
      <c r="A85" s="17" t="s">
        <v>62</v>
      </c>
      <c r="B85" s="14" t="s">
        <v>1108</v>
      </c>
      <c r="C85" s="14" t="s">
        <v>1109</v>
      </c>
      <c r="D85" s="14" t="s">
        <v>625</v>
      </c>
      <c r="E85" s="14" t="str">
        <f>"0,6402"</f>
        <v>0,6402</v>
      </c>
      <c r="F85" s="14" t="s">
        <v>1110</v>
      </c>
      <c r="G85" s="15" t="s">
        <v>58</v>
      </c>
      <c r="H85" s="15" t="s">
        <v>151</v>
      </c>
      <c r="I85" s="16" t="s">
        <v>550</v>
      </c>
      <c r="J85" s="17"/>
      <c r="K85" s="15" t="s">
        <v>70</v>
      </c>
      <c r="L85" s="15" t="s">
        <v>85</v>
      </c>
      <c r="M85" s="15" t="s">
        <v>209</v>
      </c>
      <c r="N85" s="17"/>
      <c r="O85" s="15" t="s">
        <v>58</v>
      </c>
      <c r="P85" s="15" t="s">
        <v>398</v>
      </c>
      <c r="Q85" s="16" t="s">
        <v>374</v>
      </c>
      <c r="R85" s="17"/>
      <c r="S85" s="40" t="str">
        <f>"475,0"</f>
        <v>475,0</v>
      </c>
      <c r="T85" s="17" t="str">
        <f>"322,3407"</f>
        <v>322,3407</v>
      </c>
      <c r="U85" s="14" t="s">
        <v>1111</v>
      </c>
    </row>
    <row r="86" spans="1:21">
      <c r="A86" s="17" t="s">
        <v>92</v>
      </c>
      <c r="B86" s="14" t="s">
        <v>1112</v>
      </c>
      <c r="C86" s="14" t="s">
        <v>1113</v>
      </c>
      <c r="D86" s="14" t="s">
        <v>1114</v>
      </c>
      <c r="E86" s="14" t="str">
        <f>"0,6467"</f>
        <v>0,6467</v>
      </c>
      <c r="F86" s="14" t="s">
        <v>602</v>
      </c>
      <c r="G86" s="16" t="s">
        <v>248</v>
      </c>
      <c r="H86" s="16" t="s">
        <v>248</v>
      </c>
      <c r="I86" s="16" t="s">
        <v>248</v>
      </c>
      <c r="J86" s="17"/>
      <c r="K86" s="17"/>
      <c r="L86" s="17"/>
      <c r="M86" s="17"/>
      <c r="N86" s="17"/>
      <c r="O86" s="17"/>
      <c r="P86" s="17"/>
      <c r="Q86" s="17"/>
      <c r="R86" s="17"/>
      <c r="S86" s="40">
        <v>0</v>
      </c>
      <c r="T86" s="17" t="str">
        <f>"0,0000"</f>
        <v>0,0000</v>
      </c>
      <c r="U86" s="14" t="s">
        <v>1115</v>
      </c>
    </row>
    <row r="87" spans="1:21">
      <c r="A87" s="17" t="s">
        <v>15</v>
      </c>
      <c r="B87" s="14" t="s">
        <v>1116</v>
      </c>
      <c r="C87" s="14" t="s">
        <v>1117</v>
      </c>
      <c r="D87" s="14" t="s">
        <v>1118</v>
      </c>
      <c r="E87" s="14" t="str">
        <f>"0,6440"</f>
        <v>0,6440</v>
      </c>
      <c r="F87" s="14" t="s">
        <v>591</v>
      </c>
      <c r="G87" s="15" t="s">
        <v>384</v>
      </c>
      <c r="H87" s="16" t="s">
        <v>420</v>
      </c>
      <c r="I87" s="15" t="s">
        <v>442</v>
      </c>
      <c r="J87" s="17"/>
      <c r="K87" s="15" t="s">
        <v>58</v>
      </c>
      <c r="L87" s="15" t="s">
        <v>60</v>
      </c>
      <c r="M87" s="16" t="s">
        <v>342</v>
      </c>
      <c r="N87" s="17"/>
      <c r="O87" s="15" t="s">
        <v>421</v>
      </c>
      <c r="P87" s="15" t="s">
        <v>627</v>
      </c>
      <c r="Q87" s="15" t="s">
        <v>490</v>
      </c>
      <c r="R87" s="17"/>
      <c r="S87" s="40" t="str">
        <f>"625,0"</f>
        <v>625,0</v>
      </c>
      <c r="T87" s="17" t="str">
        <f>"477,7675"</f>
        <v>477,7675</v>
      </c>
      <c r="U87" s="14" t="s">
        <v>158</v>
      </c>
    </row>
    <row r="88" spans="1:21">
      <c r="A88" s="17" t="s">
        <v>62</v>
      </c>
      <c r="B88" s="14" t="s">
        <v>1119</v>
      </c>
      <c r="C88" s="14" t="s">
        <v>1120</v>
      </c>
      <c r="D88" s="14" t="s">
        <v>649</v>
      </c>
      <c r="E88" s="14" t="str">
        <f>"0,6432"</f>
        <v>0,6432</v>
      </c>
      <c r="F88" s="14" t="s">
        <v>1121</v>
      </c>
      <c r="G88" s="15" t="s">
        <v>420</v>
      </c>
      <c r="H88" s="15" t="s">
        <v>421</v>
      </c>
      <c r="I88" s="15" t="s">
        <v>422</v>
      </c>
      <c r="J88" s="17"/>
      <c r="K88" s="16" t="s">
        <v>70</v>
      </c>
      <c r="L88" s="15" t="s">
        <v>70</v>
      </c>
      <c r="M88" s="16" t="s">
        <v>145</v>
      </c>
      <c r="N88" s="17"/>
      <c r="O88" s="15" t="s">
        <v>422</v>
      </c>
      <c r="P88" s="16" t="s">
        <v>490</v>
      </c>
      <c r="Q88" s="16" t="s">
        <v>490</v>
      </c>
      <c r="R88" s="17"/>
      <c r="S88" s="40" t="str">
        <f>"600,0"</f>
        <v>600,0</v>
      </c>
      <c r="T88" s="17" t="str">
        <f>"491,2761"</f>
        <v>491,2761</v>
      </c>
      <c r="U88" s="14" t="s">
        <v>1122</v>
      </c>
    </row>
    <row r="89" spans="1:21">
      <c r="A89" s="20" t="s">
        <v>15</v>
      </c>
      <c r="B89" s="18" t="s">
        <v>667</v>
      </c>
      <c r="C89" s="18" t="s">
        <v>668</v>
      </c>
      <c r="D89" s="18" t="s">
        <v>622</v>
      </c>
      <c r="E89" s="18" t="str">
        <f>"0,6495"</f>
        <v>0,6495</v>
      </c>
      <c r="F89" s="18" t="s">
        <v>669</v>
      </c>
      <c r="G89" s="19" t="s">
        <v>58</v>
      </c>
      <c r="H89" s="22" t="s">
        <v>60</v>
      </c>
      <c r="I89" s="22" t="s">
        <v>60</v>
      </c>
      <c r="J89" s="20"/>
      <c r="K89" s="19" t="s">
        <v>70</v>
      </c>
      <c r="L89" s="19" t="s">
        <v>145</v>
      </c>
      <c r="M89" s="19" t="s">
        <v>85</v>
      </c>
      <c r="N89" s="20"/>
      <c r="O89" s="19" t="s">
        <v>152</v>
      </c>
      <c r="P89" s="19" t="s">
        <v>398</v>
      </c>
      <c r="Q89" s="19" t="s">
        <v>368</v>
      </c>
      <c r="R89" s="20"/>
      <c r="S89" s="38" t="str">
        <f>"452,5"</f>
        <v>452,5</v>
      </c>
      <c r="T89" s="20" t="str">
        <f>"558,4076"</f>
        <v>558,4076</v>
      </c>
      <c r="U89" s="18" t="s">
        <v>158</v>
      </c>
    </row>
    <row r="90" spans="1:21">
      <c r="B90" s="5" t="s">
        <v>40</v>
      </c>
    </row>
    <row r="91" spans="1:21" ht="15.95">
      <c r="A91" s="102" t="s">
        <v>670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</row>
    <row r="92" spans="1:21">
      <c r="A92" s="13" t="s">
        <v>15</v>
      </c>
      <c r="B92" s="11" t="s">
        <v>1123</v>
      </c>
      <c r="C92" s="11" t="s">
        <v>362</v>
      </c>
      <c r="D92" s="11" t="s">
        <v>1124</v>
      </c>
      <c r="E92" s="11" t="str">
        <f>"0,6197"</f>
        <v>0,6197</v>
      </c>
      <c r="F92" s="11" t="s">
        <v>91</v>
      </c>
      <c r="G92" s="12" t="s">
        <v>71</v>
      </c>
      <c r="H92" s="12" t="s">
        <v>147</v>
      </c>
      <c r="I92" s="12" t="s">
        <v>59</v>
      </c>
      <c r="J92" s="13"/>
      <c r="K92" s="12" t="s">
        <v>47</v>
      </c>
      <c r="L92" s="12" t="s">
        <v>55</v>
      </c>
      <c r="M92" s="21" t="s">
        <v>56</v>
      </c>
      <c r="N92" s="13"/>
      <c r="O92" s="21" t="s">
        <v>151</v>
      </c>
      <c r="P92" s="12" t="s">
        <v>151</v>
      </c>
      <c r="Q92" s="12" t="s">
        <v>248</v>
      </c>
      <c r="R92" s="13"/>
      <c r="S92" s="37" t="str">
        <f>"427,5"</f>
        <v>427,5</v>
      </c>
      <c r="T92" s="13" t="str">
        <f>"264,9218"</f>
        <v>264,9218</v>
      </c>
      <c r="U92" s="11" t="s">
        <v>1026</v>
      </c>
    </row>
    <row r="93" spans="1:21">
      <c r="A93" s="17" t="s">
        <v>15</v>
      </c>
      <c r="B93" s="14" t="s">
        <v>1125</v>
      </c>
      <c r="C93" s="14" t="s">
        <v>1126</v>
      </c>
      <c r="D93" s="14" t="s">
        <v>1127</v>
      </c>
      <c r="E93" s="14" t="str">
        <f>"0,6349"</f>
        <v>0,6349</v>
      </c>
      <c r="F93" s="14" t="s">
        <v>961</v>
      </c>
      <c r="G93" s="16" t="s">
        <v>152</v>
      </c>
      <c r="H93" s="16" t="s">
        <v>152</v>
      </c>
      <c r="I93" s="15" t="s">
        <v>152</v>
      </c>
      <c r="J93" s="17"/>
      <c r="K93" s="15" t="s">
        <v>37</v>
      </c>
      <c r="L93" s="16" t="s">
        <v>49</v>
      </c>
      <c r="M93" s="16" t="s">
        <v>49</v>
      </c>
      <c r="N93" s="17"/>
      <c r="O93" s="15" t="s">
        <v>351</v>
      </c>
      <c r="P93" s="15" t="s">
        <v>392</v>
      </c>
      <c r="Q93" s="15" t="s">
        <v>374</v>
      </c>
      <c r="R93" s="17"/>
      <c r="S93" s="40" t="str">
        <f>"460,0"</f>
        <v>460,0</v>
      </c>
      <c r="T93" s="17" t="str">
        <f>"292,0540"</f>
        <v>292,0540</v>
      </c>
      <c r="U93" s="14" t="s">
        <v>158</v>
      </c>
    </row>
    <row r="94" spans="1:21">
      <c r="A94" s="17" t="s">
        <v>15</v>
      </c>
      <c r="B94" s="14" t="s">
        <v>1128</v>
      </c>
      <c r="C94" s="14" t="s">
        <v>1129</v>
      </c>
      <c r="D94" s="14" t="s">
        <v>1130</v>
      </c>
      <c r="E94" s="14" t="str">
        <f>"0,6188"</f>
        <v>0,6188</v>
      </c>
      <c r="F94" s="14" t="s">
        <v>1131</v>
      </c>
      <c r="G94" s="15" t="s">
        <v>442</v>
      </c>
      <c r="H94" s="16" t="s">
        <v>459</v>
      </c>
      <c r="I94" s="16" t="s">
        <v>459</v>
      </c>
      <c r="J94" s="17"/>
      <c r="K94" s="15" t="s">
        <v>368</v>
      </c>
      <c r="L94" s="16" t="s">
        <v>392</v>
      </c>
      <c r="M94" s="17"/>
      <c r="N94" s="17"/>
      <c r="O94" s="16" t="s">
        <v>627</v>
      </c>
      <c r="P94" s="15" t="s">
        <v>627</v>
      </c>
      <c r="Q94" s="15" t="s">
        <v>529</v>
      </c>
      <c r="R94" s="17"/>
      <c r="S94" s="40" t="str">
        <f>"665,0"</f>
        <v>665,0</v>
      </c>
      <c r="T94" s="17" t="str">
        <f>"411,5020"</f>
        <v>411,5020</v>
      </c>
      <c r="U94" s="14" t="s">
        <v>158</v>
      </c>
    </row>
    <row r="95" spans="1:21">
      <c r="A95" s="17" t="s">
        <v>62</v>
      </c>
      <c r="B95" s="14" t="s">
        <v>1132</v>
      </c>
      <c r="C95" s="14" t="s">
        <v>1133</v>
      </c>
      <c r="D95" s="14" t="s">
        <v>1134</v>
      </c>
      <c r="E95" s="14" t="str">
        <f>"0,6356"</f>
        <v>0,6356</v>
      </c>
      <c r="F95" s="14" t="s">
        <v>961</v>
      </c>
      <c r="G95" s="16" t="s">
        <v>422</v>
      </c>
      <c r="H95" s="16" t="s">
        <v>422</v>
      </c>
      <c r="I95" s="15" t="s">
        <v>422</v>
      </c>
      <c r="J95" s="17"/>
      <c r="K95" s="15" t="s">
        <v>60</v>
      </c>
      <c r="L95" s="16" t="s">
        <v>151</v>
      </c>
      <c r="M95" s="16" t="s">
        <v>151</v>
      </c>
      <c r="N95" s="17"/>
      <c r="O95" s="15" t="s">
        <v>374</v>
      </c>
      <c r="P95" s="15" t="s">
        <v>420</v>
      </c>
      <c r="Q95" s="16" t="s">
        <v>422</v>
      </c>
      <c r="R95" s="17"/>
      <c r="S95" s="40" t="str">
        <f>"610,0"</f>
        <v>610,0</v>
      </c>
      <c r="T95" s="17" t="str">
        <f>"387,7160"</f>
        <v>387,7160</v>
      </c>
      <c r="U95" s="14" t="s">
        <v>158</v>
      </c>
    </row>
    <row r="96" spans="1:21">
      <c r="A96" s="17" t="s">
        <v>73</v>
      </c>
      <c r="B96" s="14" t="s">
        <v>1135</v>
      </c>
      <c r="C96" s="14" t="s">
        <v>1136</v>
      </c>
      <c r="D96" s="14" t="s">
        <v>1137</v>
      </c>
      <c r="E96" s="14" t="str">
        <f>"0,6163"</f>
        <v>0,6163</v>
      </c>
      <c r="F96" s="14" t="s">
        <v>961</v>
      </c>
      <c r="G96" s="16" t="s">
        <v>351</v>
      </c>
      <c r="H96" s="16" t="s">
        <v>351</v>
      </c>
      <c r="I96" s="15" t="s">
        <v>351</v>
      </c>
      <c r="J96" s="17"/>
      <c r="K96" s="15" t="s">
        <v>70</v>
      </c>
      <c r="L96" s="15" t="s">
        <v>145</v>
      </c>
      <c r="M96" s="16" t="s">
        <v>85</v>
      </c>
      <c r="N96" s="17"/>
      <c r="O96" s="16" t="s">
        <v>399</v>
      </c>
      <c r="P96" s="15" t="s">
        <v>436</v>
      </c>
      <c r="Q96" s="16" t="s">
        <v>421</v>
      </c>
      <c r="R96" s="17"/>
      <c r="S96" s="40" t="str">
        <f>"515,0"</f>
        <v>515,0</v>
      </c>
      <c r="T96" s="17" t="str">
        <f>"317,3945"</f>
        <v>317,3945</v>
      </c>
      <c r="U96" s="14" t="s">
        <v>158</v>
      </c>
    </row>
    <row r="97" spans="1:21">
      <c r="A97" s="17" t="s">
        <v>15</v>
      </c>
      <c r="B97" s="14" t="s">
        <v>1138</v>
      </c>
      <c r="C97" s="14" t="s">
        <v>1139</v>
      </c>
      <c r="D97" s="14" t="s">
        <v>719</v>
      </c>
      <c r="E97" s="14" t="str">
        <f>"0,6150"</f>
        <v>0,6150</v>
      </c>
      <c r="F97" s="14" t="s">
        <v>1140</v>
      </c>
      <c r="G97" s="16" t="s">
        <v>1030</v>
      </c>
      <c r="H97" s="15" t="s">
        <v>1030</v>
      </c>
      <c r="I97" s="16" t="s">
        <v>824</v>
      </c>
      <c r="J97" s="17"/>
      <c r="K97" s="15" t="s">
        <v>385</v>
      </c>
      <c r="L97" s="15" t="s">
        <v>507</v>
      </c>
      <c r="M97" s="16" t="s">
        <v>421</v>
      </c>
      <c r="N97" s="17"/>
      <c r="O97" s="15" t="s">
        <v>842</v>
      </c>
      <c r="P97" s="15" t="s">
        <v>1141</v>
      </c>
      <c r="Q97" s="16" t="s">
        <v>1142</v>
      </c>
      <c r="R97" s="17"/>
      <c r="S97" s="40" t="str">
        <f>"887,5"</f>
        <v>887,5</v>
      </c>
      <c r="T97" s="17" t="str">
        <f>"545,8125"</f>
        <v>545,8125</v>
      </c>
      <c r="U97" s="14" t="s">
        <v>896</v>
      </c>
    </row>
    <row r="98" spans="1:21">
      <c r="A98" s="17" t="s">
        <v>62</v>
      </c>
      <c r="B98" s="14" t="s">
        <v>1143</v>
      </c>
      <c r="C98" s="14" t="s">
        <v>1144</v>
      </c>
      <c r="D98" s="14" t="s">
        <v>677</v>
      </c>
      <c r="E98" s="14" t="str">
        <f>"0,6098"</f>
        <v>0,6098</v>
      </c>
      <c r="F98" s="14" t="s">
        <v>125</v>
      </c>
      <c r="G98" s="15" t="s">
        <v>738</v>
      </c>
      <c r="H98" s="16" t="s">
        <v>822</v>
      </c>
      <c r="I98" s="17"/>
      <c r="J98" s="17"/>
      <c r="K98" s="15" t="s">
        <v>392</v>
      </c>
      <c r="L98" s="15" t="s">
        <v>383</v>
      </c>
      <c r="M98" s="16" t="s">
        <v>374</v>
      </c>
      <c r="N98" s="17"/>
      <c r="O98" s="16" t="s">
        <v>839</v>
      </c>
      <c r="P98" s="15" t="s">
        <v>1087</v>
      </c>
      <c r="Q98" s="16" t="s">
        <v>1142</v>
      </c>
      <c r="R98" s="17"/>
      <c r="S98" s="40" t="str">
        <f>"810,0"</f>
        <v>810,0</v>
      </c>
      <c r="T98" s="17" t="str">
        <f>"493,9380"</f>
        <v>493,9380</v>
      </c>
      <c r="U98" s="14" t="s">
        <v>158</v>
      </c>
    </row>
    <row r="99" spans="1:21">
      <c r="A99" s="17" t="s">
        <v>73</v>
      </c>
      <c r="B99" s="14" t="s">
        <v>1145</v>
      </c>
      <c r="C99" s="14" t="s">
        <v>1146</v>
      </c>
      <c r="D99" s="14" t="s">
        <v>1147</v>
      </c>
      <c r="E99" s="14" t="str">
        <f>"0,6118"</f>
        <v>0,6118</v>
      </c>
      <c r="F99" s="14" t="s">
        <v>602</v>
      </c>
      <c r="G99" s="15" t="s">
        <v>754</v>
      </c>
      <c r="H99" s="15" t="s">
        <v>822</v>
      </c>
      <c r="I99" s="16" t="s">
        <v>1005</v>
      </c>
      <c r="J99" s="17"/>
      <c r="K99" s="15" t="s">
        <v>392</v>
      </c>
      <c r="L99" s="16" t="s">
        <v>383</v>
      </c>
      <c r="M99" s="16" t="s">
        <v>383</v>
      </c>
      <c r="N99" s="17"/>
      <c r="O99" s="15" t="s">
        <v>1005</v>
      </c>
      <c r="P99" s="15" t="s">
        <v>1043</v>
      </c>
      <c r="Q99" s="15" t="s">
        <v>1078</v>
      </c>
      <c r="R99" s="17"/>
      <c r="S99" s="40" t="str">
        <f>"795,0"</f>
        <v>795,0</v>
      </c>
      <c r="T99" s="17" t="str">
        <f>"486,3810"</f>
        <v>486,3810</v>
      </c>
      <c r="U99" s="14" t="s">
        <v>1148</v>
      </c>
    </row>
    <row r="100" spans="1:21">
      <c r="A100" s="17" t="s">
        <v>75</v>
      </c>
      <c r="B100" s="14" t="s">
        <v>1149</v>
      </c>
      <c r="C100" s="14" t="s">
        <v>1150</v>
      </c>
      <c r="D100" s="14" t="s">
        <v>694</v>
      </c>
      <c r="E100" s="14" t="str">
        <f>"0,6134"</f>
        <v>0,6134</v>
      </c>
      <c r="F100" s="14" t="s">
        <v>91</v>
      </c>
      <c r="G100" s="15" t="s">
        <v>627</v>
      </c>
      <c r="H100" s="15" t="s">
        <v>523</v>
      </c>
      <c r="I100" s="15" t="s">
        <v>628</v>
      </c>
      <c r="J100" s="17"/>
      <c r="K100" s="15" t="s">
        <v>368</v>
      </c>
      <c r="L100" s="15" t="s">
        <v>383</v>
      </c>
      <c r="M100" s="16" t="s">
        <v>374</v>
      </c>
      <c r="N100" s="17"/>
      <c r="O100" s="15" t="s">
        <v>1043</v>
      </c>
      <c r="P100" s="15" t="s">
        <v>1086</v>
      </c>
      <c r="Q100" s="15" t="s">
        <v>1151</v>
      </c>
      <c r="R100" s="17"/>
      <c r="S100" s="40" t="str">
        <f>"792,5"</f>
        <v>792,5</v>
      </c>
      <c r="T100" s="17" t="str">
        <f>"486,1195"</f>
        <v>486,1195</v>
      </c>
      <c r="U100" s="14" t="s">
        <v>1152</v>
      </c>
    </row>
    <row r="101" spans="1:21">
      <c r="A101" s="17" t="s">
        <v>87</v>
      </c>
      <c r="B101" s="14" t="s">
        <v>1153</v>
      </c>
      <c r="C101" s="14" t="s">
        <v>1154</v>
      </c>
      <c r="D101" s="14" t="s">
        <v>708</v>
      </c>
      <c r="E101" s="14" t="str">
        <f>"0,6086"</f>
        <v>0,6086</v>
      </c>
      <c r="F101" s="14" t="s">
        <v>1155</v>
      </c>
      <c r="G101" s="15" t="s">
        <v>744</v>
      </c>
      <c r="H101" s="15" t="s">
        <v>803</v>
      </c>
      <c r="I101" s="16" t="s">
        <v>822</v>
      </c>
      <c r="J101" s="17"/>
      <c r="K101" s="15" t="s">
        <v>383</v>
      </c>
      <c r="L101" s="15" t="s">
        <v>743</v>
      </c>
      <c r="M101" s="16" t="s">
        <v>399</v>
      </c>
      <c r="N101" s="17"/>
      <c r="O101" s="15" t="s">
        <v>999</v>
      </c>
      <c r="P101" s="16" t="s">
        <v>804</v>
      </c>
      <c r="Q101" s="16" t="s">
        <v>804</v>
      </c>
      <c r="R101" s="17"/>
      <c r="S101" s="40" t="str">
        <f>"772,5"</f>
        <v>772,5</v>
      </c>
      <c r="T101" s="17" t="str">
        <f>"470,1435"</f>
        <v>470,1435</v>
      </c>
      <c r="U101" s="14" t="s">
        <v>1156</v>
      </c>
    </row>
    <row r="102" spans="1:21">
      <c r="A102" s="17" t="s">
        <v>168</v>
      </c>
      <c r="B102" s="14" t="s">
        <v>1157</v>
      </c>
      <c r="C102" s="14" t="s">
        <v>1158</v>
      </c>
      <c r="D102" s="14" t="s">
        <v>694</v>
      </c>
      <c r="E102" s="14" t="str">
        <f>"0,6134"</f>
        <v>0,6134</v>
      </c>
      <c r="F102" s="14" t="s">
        <v>828</v>
      </c>
      <c r="G102" s="16" t="s">
        <v>523</v>
      </c>
      <c r="H102" s="15" t="s">
        <v>523</v>
      </c>
      <c r="I102" s="15" t="s">
        <v>640</v>
      </c>
      <c r="J102" s="17"/>
      <c r="K102" s="15" t="s">
        <v>248</v>
      </c>
      <c r="L102" s="15" t="s">
        <v>351</v>
      </c>
      <c r="M102" s="16" t="s">
        <v>398</v>
      </c>
      <c r="N102" s="17"/>
      <c r="O102" s="15" t="s">
        <v>804</v>
      </c>
      <c r="P102" s="15" t="s">
        <v>1043</v>
      </c>
      <c r="Q102" s="16" t="s">
        <v>1086</v>
      </c>
      <c r="R102" s="17"/>
      <c r="S102" s="40" t="str">
        <f>"755,0"</f>
        <v>755,0</v>
      </c>
      <c r="T102" s="17" t="str">
        <f>"463,1170"</f>
        <v>463,1170</v>
      </c>
      <c r="U102" s="14" t="s">
        <v>158</v>
      </c>
    </row>
    <row r="103" spans="1:21">
      <c r="A103" s="17" t="s">
        <v>172</v>
      </c>
      <c r="B103" s="14" t="s">
        <v>1159</v>
      </c>
      <c r="C103" s="14" t="s">
        <v>1160</v>
      </c>
      <c r="D103" s="14" t="s">
        <v>1161</v>
      </c>
      <c r="E103" s="14" t="str">
        <f>"0,6169"</f>
        <v>0,6169</v>
      </c>
      <c r="F103" s="14" t="s">
        <v>91</v>
      </c>
      <c r="G103" s="15" t="s">
        <v>490</v>
      </c>
      <c r="H103" s="16" t="s">
        <v>523</v>
      </c>
      <c r="I103" s="15" t="s">
        <v>523</v>
      </c>
      <c r="J103" s="17"/>
      <c r="K103" s="15" t="s">
        <v>374</v>
      </c>
      <c r="L103" s="16" t="s">
        <v>384</v>
      </c>
      <c r="M103" s="16" t="s">
        <v>384</v>
      </c>
      <c r="N103" s="17"/>
      <c r="O103" s="15" t="s">
        <v>38</v>
      </c>
      <c r="P103" s="15" t="s">
        <v>523</v>
      </c>
      <c r="Q103" s="15" t="s">
        <v>754</v>
      </c>
      <c r="R103" s="17"/>
      <c r="S103" s="40" t="str">
        <f>"735,0"</f>
        <v>735,0</v>
      </c>
      <c r="T103" s="17" t="str">
        <f>"453,4215"</f>
        <v>453,4215</v>
      </c>
      <c r="U103" s="14" t="s">
        <v>158</v>
      </c>
    </row>
    <row r="104" spans="1:21">
      <c r="A104" s="17" t="s">
        <v>178</v>
      </c>
      <c r="B104" s="14" t="s">
        <v>1162</v>
      </c>
      <c r="C104" s="14" t="s">
        <v>1163</v>
      </c>
      <c r="D104" s="14" t="s">
        <v>686</v>
      </c>
      <c r="E104" s="14" t="str">
        <f>"0,6113"</f>
        <v>0,6113</v>
      </c>
      <c r="F104" s="14" t="s">
        <v>1164</v>
      </c>
      <c r="G104" s="15" t="s">
        <v>422</v>
      </c>
      <c r="H104" s="15" t="s">
        <v>529</v>
      </c>
      <c r="I104" s="16" t="s">
        <v>491</v>
      </c>
      <c r="J104" s="17"/>
      <c r="K104" s="15" t="s">
        <v>152</v>
      </c>
      <c r="L104" s="16" t="s">
        <v>351</v>
      </c>
      <c r="M104" s="16" t="s">
        <v>351</v>
      </c>
      <c r="N104" s="17"/>
      <c r="O104" s="15" t="s">
        <v>490</v>
      </c>
      <c r="P104" s="15" t="s">
        <v>640</v>
      </c>
      <c r="Q104" s="16" t="s">
        <v>738</v>
      </c>
      <c r="R104" s="17"/>
      <c r="S104" s="40" t="str">
        <f>"690,0"</f>
        <v>690,0</v>
      </c>
      <c r="T104" s="17" t="str">
        <f>"421,7970"</f>
        <v>421,7970</v>
      </c>
      <c r="U104" s="14" t="s">
        <v>1165</v>
      </c>
    </row>
    <row r="105" spans="1:21">
      <c r="A105" s="17" t="s">
        <v>183</v>
      </c>
      <c r="B105" s="14" t="s">
        <v>1166</v>
      </c>
      <c r="C105" s="14" t="s">
        <v>1167</v>
      </c>
      <c r="D105" s="14" t="s">
        <v>1168</v>
      </c>
      <c r="E105" s="14" t="str">
        <f>"0,6183"</f>
        <v>0,6183</v>
      </c>
      <c r="F105" s="14" t="s">
        <v>594</v>
      </c>
      <c r="G105" s="15" t="s">
        <v>420</v>
      </c>
      <c r="H105" s="15" t="s">
        <v>421</v>
      </c>
      <c r="I105" s="16" t="s">
        <v>422</v>
      </c>
      <c r="J105" s="17"/>
      <c r="K105" s="15" t="s">
        <v>374</v>
      </c>
      <c r="L105" s="16" t="s">
        <v>455</v>
      </c>
      <c r="M105" s="16" t="s">
        <v>384</v>
      </c>
      <c r="N105" s="17"/>
      <c r="O105" s="16" t="s">
        <v>529</v>
      </c>
      <c r="P105" s="16" t="s">
        <v>529</v>
      </c>
      <c r="Q105" s="15" t="s">
        <v>529</v>
      </c>
      <c r="R105" s="17"/>
      <c r="S105" s="40" t="str">
        <f>"685,0"</f>
        <v>685,0</v>
      </c>
      <c r="T105" s="17" t="str">
        <f>"423,5355"</f>
        <v>423,5355</v>
      </c>
      <c r="U105" s="14" t="s">
        <v>158</v>
      </c>
    </row>
    <row r="106" spans="1:21">
      <c r="A106" s="17" t="s">
        <v>186</v>
      </c>
      <c r="B106" s="14" t="s">
        <v>1169</v>
      </c>
      <c r="C106" s="14" t="s">
        <v>1170</v>
      </c>
      <c r="D106" s="14" t="s">
        <v>1130</v>
      </c>
      <c r="E106" s="14" t="str">
        <f>"0,6188"</f>
        <v>0,6188</v>
      </c>
      <c r="F106" s="14" t="s">
        <v>119</v>
      </c>
      <c r="G106" s="16" t="s">
        <v>422</v>
      </c>
      <c r="H106" s="16" t="s">
        <v>490</v>
      </c>
      <c r="I106" s="15" t="s">
        <v>490</v>
      </c>
      <c r="J106" s="17"/>
      <c r="K106" s="15" t="s">
        <v>209</v>
      </c>
      <c r="L106" s="15" t="s">
        <v>346</v>
      </c>
      <c r="M106" s="16" t="s">
        <v>59</v>
      </c>
      <c r="N106" s="17"/>
      <c r="O106" s="15" t="s">
        <v>523</v>
      </c>
      <c r="P106" s="15" t="s">
        <v>738</v>
      </c>
      <c r="Q106" s="15" t="s">
        <v>822</v>
      </c>
      <c r="R106" s="17"/>
      <c r="S106" s="40" t="str">
        <f>"682,5"</f>
        <v>682,5</v>
      </c>
      <c r="T106" s="17" t="str">
        <f>"422,3310"</f>
        <v>422,3310</v>
      </c>
      <c r="U106" s="14" t="s">
        <v>1171</v>
      </c>
    </row>
    <row r="107" spans="1:21">
      <c r="A107" s="17" t="s">
        <v>556</v>
      </c>
      <c r="B107" s="14" t="s">
        <v>1172</v>
      </c>
      <c r="C107" s="14" t="s">
        <v>1173</v>
      </c>
      <c r="D107" s="14" t="s">
        <v>1174</v>
      </c>
      <c r="E107" s="14" t="str">
        <f>"0,6123"</f>
        <v>0,6123</v>
      </c>
      <c r="F107" s="14" t="s">
        <v>91</v>
      </c>
      <c r="G107" s="15" t="s">
        <v>442</v>
      </c>
      <c r="H107" s="15" t="s">
        <v>459</v>
      </c>
      <c r="I107" s="15" t="s">
        <v>422</v>
      </c>
      <c r="J107" s="17"/>
      <c r="K107" s="15" t="s">
        <v>60</v>
      </c>
      <c r="L107" s="15" t="s">
        <v>151</v>
      </c>
      <c r="M107" s="16" t="s">
        <v>152</v>
      </c>
      <c r="N107" s="17"/>
      <c r="O107" s="15" t="s">
        <v>422</v>
      </c>
      <c r="P107" s="15" t="s">
        <v>490</v>
      </c>
      <c r="Q107" s="16" t="s">
        <v>1175</v>
      </c>
      <c r="R107" s="17"/>
      <c r="S107" s="40" t="str">
        <f>"650,0"</f>
        <v>650,0</v>
      </c>
      <c r="T107" s="17" t="str">
        <f>"397,9950"</f>
        <v>397,9950</v>
      </c>
      <c r="U107" s="14" t="s">
        <v>213</v>
      </c>
    </row>
    <row r="108" spans="1:21">
      <c r="A108" s="17" t="s">
        <v>559</v>
      </c>
      <c r="B108" s="14" t="s">
        <v>1176</v>
      </c>
      <c r="C108" s="14" t="s">
        <v>1177</v>
      </c>
      <c r="D108" s="14" t="s">
        <v>1178</v>
      </c>
      <c r="E108" s="14" t="str">
        <f>"0,6214"</f>
        <v>0,6214</v>
      </c>
      <c r="F108" s="14" t="s">
        <v>1179</v>
      </c>
      <c r="G108" s="16" t="s">
        <v>420</v>
      </c>
      <c r="H108" s="15" t="s">
        <v>420</v>
      </c>
      <c r="I108" s="16" t="s">
        <v>421</v>
      </c>
      <c r="J108" s="17"/>
      <c r="K108" s="15" t="s">
        <v>59</v>
      </c>
      <c r="L108" s="15" t="s">
        <v>205</v>
      </c>
      <c r="M108" s="15" t="s">
        <v>151</v>
      </c>
      <c r="N108" s="17"/>
      <c r="O108" s="15" t="s">
        <v>421</v>
      </c>
      <c r="P108" s="15" t="s">
        <v>490</v>
      </c>
      <c r="Q108" s="15" t="s">
        <v>523</v>
      </c>
      <c r="R108" s="17"/>
      <c r="S108" s="40" t="str">
        <f>"640,0"</f>
        <v>640,0</v>
      </c>
      <c r="T108" s="17" t="str">
        <f>"397,6960"</f>
        <v>397,6960</v>
      </c>
      <c r="U108" s="14" t="s">
        <v>1180</v>
      </c>
    </row>
    <row r="109" spans="1:21">
      <c r="A109" s="17" t="s">
        <v>564</v>
      </c>
      <c r="B109" s="14" t="s">
        <v>1181</v>
      </c>
      <c r="C109" s="14" t="s">
        <v>1182</v>
      </c>
      <c r="D109" s="14" t="s">
        <v>1174</v>
      </c>
      <c r="E109" s="14" t="str">
        <f>"0,6123"</f>
        <v>0,6123</v>
      </c>
      <c r="F109" s="14" t="s">
        <v>232</v>
      </c>
      <c r="G109" s="15" t="s">
        <v>436</v>
      </c>
      <c r="H109" s="16" t="s">
        <v>420</v>
      </c>
      <c r="I109" s="15" t="s">
        <v>420</v>
      </c>
      <c r="J109" s="15" t="s">
        <v>442</v>
      </c>
      <c r="K109" s="15" t="s">
        <v>60</v>
      </c>
      <c r="L109" s="15" t="s">
        <v>151</v>
      </c>
      <c r="M109" s="15" t="s">
        <v>152</v>
      </c>
      <c r="N109" s="17"/>
      <c r="O109" s="15" t="s">
        <v>436</v>
      </c>
      <c r="P109" s="15" t="s">
        <v>420</v>
      </c>
      <c r="Q109" s="15" t="s">
        <v>442</v>
      </c>
      <c r="R109" s="17"/>
      <c r="S109" s="40" t="str">
        <f>"610,0"</f>
        <v>610,0</v>
      </c>
      <c r="T109" s="17" t="str">
        <f>"373,5030"</f>
        <v>373,5030</v>
      </c>
      <c r="U109" s="14" t="s">
        <v>1183</v>
      </c>
    </row>
    <row r="110" spans="1:21">
      <c r="A110" s="17" t="s">
        <v>569</v>
      </c>
      <c r="B110" s="14" t="s">
        <v>1184</v>
      </c>
      <c r="C110" s="14" t="s">
        <v>1185</v>
      </c>
      <c r="D110" s="14" t="s">
        <v>1186</v>
      </c>
      <c r="E110" s="14" t="str">
        <f>"0,6269"</f>
        <v>0,6269</v>
      </c>
      <c r="F110" s="14" t="s">
        <v>91</v>
      </c>
      <c r="G110" s="16" t="s">
        <v>399</v>
      </c>
      <c r="H110" s="15" t="s">
        <v>455</v>
      </c>
      <c r="I110" s="16" t="s">
        <v>436</v>
      </c>
      <c r="J110" s="17"/>
      <c r="K110" s="16" t="s">
        <v>58</v>
      </c>
      <c r="L110" s="15" t="s">
        <v>58</v>
      </c>
      <c r="M110" s="16" t="s">
        <v>59</v>
      </c>
      <c r="N110" s="17"/>
      <c r="O110" s="15" t="s">
        <v>436</v>
      </c>
      <c r="P110" s="16" t="s">
        <v>385</v>
      </c>
      <c r="Q110" s="15" t="s">
        <v>442</v>
      </c>
      <c r="R110" s="17"/>
      <c r="S110" s="40" t="str">
        <f>"572,5"</f>
        <v>572,5</v>
      </c>
      <c r="T110" s="17" t="str">
        <f>"358,9003"</f>
        <v>358,9003</v>
      </c>
      <c r="U110" s="14" t="s">
        <v>1187</v>
      </c>
    </row>
    <row r="111" spans="1:21">
      <c r="A111" s="17" t="s">
        <v>92</v>
      </c>
      <c r="B111" s="14" t="s">
        <v>1188</v>
      </c>
      <c r="C111" s="14" t="s">
        <v>1189</v>
      </c>
      <c r="D111" s="14" t="s">
        <v>1190</v>
      </c>
      <c r="E111" s="14" t="str">
        <f>"0,6206"</f>
        <v>0,6206</v>
      </c>
      <c r="F111" s="14" t="s">
        <v>961</v>
      </c>
      <c r="G111" s="16" t="s">
        <v>60</v>
      </c>
      <c r="H111" s="16" t="s">
        <v>60</v>
      </c>
      <c r="I111" s="16" t="s">
        <v>151</v>
      </c>
      <c r="J111" s="17"/>
      <c r="K111" s="16"/>
      <c r="L111" s="17"/>
      <c r="M111" s="17"/>
      <c r="N111" s="17"/>
      <c r="O111" s="16"/>
      <c r="P111" s="17"/>
      <c r="Q111" s="17"/>
      <c r="R111" s="17"/>
      <c r="S111" s="40">
        <v>0</v>
      </c>
      <c r="T111" s="17" t="str">
        <f>"0,0000"</f>
        <v>0,0000</v>
      </c>
      <c r="U111" s="14" t="s">
        <v>158</v>
      </c>
    </row>
    <row r="112" spans="1:21">
      <c r="A112" s="17" t="s">
        <v>92</v>
      </c>
      <c r="B112" s="14" t="s">
        <v>1191</v>
      </c>
      <c r="C112" s="14" t="s">
        <v>1192</v>
      </c>
      <c r="D112" s="14" t="s">
        <v>1193</v>
      </c>
      <c r="E112" s="14" t="str">
        <f>"0,6131"</f>
        <v>0,6131</v>
      </c>
      <c r="F112" s="14" t="s">
        <v>125</v>
      </c>
      <c r="G112" s="16" t="s">
        <v>754</v>
      </c>
      <c r="H112" s="15" t="s">
        <v>745</v>
      </c>
      <c r="I112" s="15" t="s">
        <v>1194</v>
      </c>
      <c r="J112" s="17"/>
      <c r="K112" s="15" t="s">
        <v>392</v>
      </c>
      <c r="L112" s="15" t="s">
        <v>374</v>
      </c>
      <c r="M112" s="16" t="s">
        <v>384</v>
      </c>
      <c r="N112" s="17"/>
      <c r="O112" s="16" t="s">
        <v>804</v>
      </c>
      <c r="P112" s="16" t="s">
        <v>804</v>
      </c>
      <c r="Q112" s="16" t="s">
        <v>804</v>
      </c>
      <c r="R112" s="17"/>
      <c r="S112" s="40">
        <v>0</v>
      </c>
      <c r="T112" s="17" t="str">
        <f>"0,0000"</f>
        <v>0,0000</v>
      </c>
      <c r="U112" s="14" t="s">
        <v>1006</v>
      </c>
    </row>
    <row r="113" spans="1:21">
      <c r="A113" s="17" t="s">
        <v>15</v>
      </c>
      <c r="B113" s="14" t="s">
        <v>1195</v>
      </c>
      <c r="C113" s="14" t="s">
        <v>1196</v>
      </c>
      <c r="D113" s="14" t="s">
        <v>1197</v>
      </c>
      <c r="E113" s="14" t="str">
        <f>"0,6139"</f>
        <v>0,6139</v>
      </c>
      <c r="F113" s="14" t="s">
        <v>1198</v>
      </c>
      <c r="G113" s="15" t="s">
        <v>384</v>
      </c>
      <c r="H113" s="16" t="s">
        <v>420</v>
      </c>
      <c r="I113" s="15" t="s">
        <v>420</v>
      </c>
      <c r="J113" s="17"/>
      <c r="K113" s="15" t="s">
        <v>59</v>
      </c>
      <c r="L113" s="15" t="s">
        <v>60</v>
      </c>
      <c r="M113" s="15" t="s">
        <v>205</v>
      </c>
      <c r="N113" s="17"/>
      <c r="O113" s="15" t="s">
        <v>374</v>
      </c>
      <c r="P113" s="15" t="s">
        <v>384</v>
      </c>
      <c r="Q113" s="15" t="s">
        <v>442</v>
      </c>
      <c r="R113" s="17"/>
      <c r="S113" s="40" t="str">
        <f>"600,0"</f>
        <v>600,0</v>
      </c>
      <c r="T113" s="17" t="str">
        <f>"397,0705"</f>
        <v>397,0705</v>
      </c>
      <c r="U113" s="14" t="s">
        <v>619</v>
      </c>
    </row>
    <row r="114" spans="1:21">
      <c r="A114" s="17" t="s">
        <v>62</v>
      </c>
      <c r="B114" s="14" t="s">
        <v>709</v>
      </c>
      <c r="C114" s="14" t="s">
        <v>710</v>
      </c>
      <c r="D114" s="14" t="s">
        <v>711</v>
      </c>
      <c r="E114" s="14" t="str">
        <f>"0,6091"</f>
        <v>0,6091</v>
      </c>
      <c r="F114" s="14" t="s">
        <v>166</v>
      </c>
      <c r="G114" s="15" t="s">
        <v>398</v>
      </c>
      <c r="H114" s="16" t="s">
        <v>392</v>
      </c>
      <c r="I114" s="16" t="s">
        <v>392</v>
      </c>
      <c r="J114" s="17"/>
      <c r="K114" s="15" t="s">
        <v>209</v>
      </c>
      <c r="L114" s="15" t="s">
        <v>147</v>
      </c>
      <c r="M114" s="15" t="s">
        <v>58</v>
      </c>
      <c r="N114" s="17"/>
      <c r="O114" s="15" t="s">
        <v>384</v>
      </c>
      <c r="P114" s="15" t="s">
        <v>420</v>
      </c>
      <c r="Q114" s="16" t="s">
        <v>442</v>
      </c>
      <c r="R114" s="17"/>
      <c r="S114" s="40" t="str">
        <f>"540,0"</f>
        <v>540,0</v>
      </c>
      <c r="T114" s="17" t="str">
        <f>"338,1236"</f>
        <v>338,1236</v>
      </c>
      <c r="U114" s="14" t="s">
        <v>712</v>
      </c>
    </row>
    <row r="115" spans="1:21">
      <c r="A115" s="17" t="s">
        <v>73</v>
      </c>
      <c r="B115" s="14" t="s">
        <v>1199</v>
      </c>
      <c r="C115" s="14" t="s">
        <v>1200</v>
      </c>
      <c r="D115" s="14" t="s">
        <v>1201</v>
      </c>
      <c r="E115" s="14" t="str">
        <f>"0,6126"</f>
        <v>0,6126</v>
      </c>
      <c r="F115" s="14" t="s">
        <v>91</v>
      </c>
      <c r="G115" s="15" t="s">
        <v>351</v>
      </c>
      <c r="H115" s="15" t="s">
        <v>368</v>
      </c>
      <c r="I115" s="16" t="s">
        <v>383</v>
      </c>
      <c r="J115" s="17"/>
      <c r="K115" s="15" t="s">
        <v>69</v>
      </c>
      <c r="L115" s="15" t="s">
        <v>56</v>
      </c>
      <c r="M115" s="16" t="s">
        <v>70</v>
      </c>
      <c r="N115" s="17"/>
      <c r="O115" s="15" t="s">
        <v>383</v>
      </c>
      <c r="P115" s="15" t="s">
        <v>399</v>
      </c>
      <c r="Q115" s="15" t="s">
        <v>436</v>
      </c>
      <c r="R115" s="17"/>
      <c r="S115" s="40" t="str">
        <f>"515,0"</f>
        <v>515,0</v>
      </c>
      <c r="T115" s="17" t="str">
        <f>"317,0665"</f>
        <v>317,0665</v>
      </c>
      <c r="U115" s="14" t="s">
        <v>213</v>
      </c>
    </row>
    <row r="116" spans="1:21">
      <c r="A116" s="17" t="s">
        <v>92</v>
      </c>
      <c r="B116" s="14" t="s">
        <v>1202</v>
      </c>
      <c r="C116" s="14" t="s">
        <v>1203</v>
      </c>
      <c r="D116" s="14" t="s">
        <v>719</v>
      </c>
      <c r="E116" s="14" t="str">
        <f>"0,6150"</f>
        <v>0,6150</v>
      </c>
      <c r="F116" s="14" t="s">
        <v>1204</v>
      </c>
      <c r="G116" s="15" t="s">
        <v>248</v>
      </c>
      <c r="H116" s="16" t="s">
        <v>398</v>
      </c>
      <c r="I116" s="16" t="s">
        <v>398</v>
      </c>
      <c r="J116" s="17"/>
      <c r="K116" s="16" t="s">
        <v>69</v>
      </c>
      <c r="L116" s="16" t="s">
        <v>69</v>
      </c>
      <c r="M116" s="16" t="s">
        <v>69</v>
      </c>
      <c r="N116" s="17"/>
      <c r="O116" s="16"/>
      <c r="P116" s="17"/>
      <c r="Q116" s="17"/>
      <c r="R116" s="17"/>
      <c r="S116" s="40">
        <v>0</v>
      </c>
      <c r="T116" s="17" t="str">
        <f>"0,0000"</f>
        <v>0,0000</v>
      </c>
      <c r="U116" s="14" t="s">
        <v>158</v>
      </c>
    </row>
    <row r="117" spans="1:21">
      <c r="A117" s="17" t="s">
        <v>15</v>
      </c>
      <c r="B117" s="14" t="s">
        <v>1205</v>
      </c>
      <c r="C117" s="14" t="s">
        <v>1206</v>
      </c>
      <c r="D117" s="14" t="s">
        <v>708</v>
      </c>
      <c r="E117" s="14" t="str">
        <f>"0,6086"</f>
        <v>0,6086</v>
      </c>
      <c r="F117" s="14" t="s">
        <v>1207</v>
      </c>
      <c r="G117" s="15" t="s">
        <v>421</v>
      </c>
      <c r="H117" s="15" t="s">
        <v>627</v>
      </c>
      <c r="I117" s="15" t="s">
        <v>431</v>
      </c>
      <c r="J117" s="17"/>
      <c r="K117" s="15" t="s">
        <v>59</v>
      </c>
      <c r="L117" s="15" t="s">
        <v>60</v>
      </c>
      <c r="M117" s="16" t="s">
        <v>151</v>
      </c>
      <c r="N117" s="17"/>
      <c r="O117" s="15" t="s">
        <v>529</v>
      </c>
      <c r="P117" s="15" t="s">
        <v>640</v>
      </c>
      <c r="Q117" s="16" t="s">
        <v>1005</v>
      </c>
      <c r="R117" s="17"/>
      <c r="S117" s="40" t="str">
        <f>"672,5"</f>
        <v>672,5</v>
      </c>
      <c r="T117" s="17" t="str">
        <f>"511,6044"</f>
        <v>511,6044</v>
      </c>
      <c r="U117" s="14" t="s">
        <v>158</v>
      </c>
    </row>
    <row r="118" spans="1:21">
      <c r="A118" s="17" t="s">
        <v>62</v>
      </c>
      <c r="B118" s="14" t="s">
        <v>1208</v>
      </c>
      <c r="C118" s="14" t="s">
        <v>1209</v>
      </c>
      <c r="D118" s="14" t="s">
        <v>1210</v>
      </c>
      <c r="E118" s="14" t="str">
        <f>"0,6088"</f>
        <v>0,6088</v>
      </c>
      <c r="F118" s="14" t="s">
        <v>602</v>
      </c>
      <c r="G118" s="15" t="s">
        <v>420</v>
      </c>
      <c r="H118" s="15" t="s">
        <v>421</v>
      </c>
      <c r="I118" s="16" t="s">
        <v>422</v>
      </c>
      <c r="J118" s="17"/>
      <c r="K118" s="15" t="s">
        <v>398</v>
      </c>
      <c r="L118" s="16" t="s">
        <v>392</v>
      </c>
      <c r="M118" s="17"/>
      <c r="N118" s="17"/>
      <c r="O118" s="15" t="s">
        <v>38</v>
      </c>
      <c r="P118" s="17"/>
      <c r="Q118" s="17"/>
      <c r="R118" s="17"/>
      <c r="S118" s="40" t="str">
        <f>"510,0"</f>
        <v>510,0</v>
      </c>
      <c r="T118" s="17" t="str">
        <f>"374,7590"</f>
        <v>374,7590</v>
      </c>
      <c r="U118" s="14" t="s">
        <v>158</v>
      </c>
    </row>
    <row r="119" spans="1:21">
      <c r="A119" s="20" t="s">
        <v>15</v>
      </c>
      <c r="B119" s="18" t="s">
        <v>1211</v>
      </c>
      <c r="C119" s="18" t="s">
        <v>1212</v>
      </c>
      <c r="D119" s="18" t="s">
        <v>1213</v>
      </c>
      <c r="E119" s="18" t="str">
        <f>"0,6250"</f>
        <v>0,6250</v>
      </c>
      <c r="F119" s="18" t="s">
        <v>1214</v>
      </c>
      <c r="G119" s="22" t="s">
        <v>58</v>
      </c>
      <c r="H119" s="19" t="s">
        <v>58</v>
      </c>
      <c r="I119" s="22" t="s">
        <v>60</v>
      </c>
      <c r="J119" s="20"/>
      <c r="K119" s="19" t="s">
        <v>36</v>
      </c>
      <c r="L119" s="19" t="s">
        <v>38</v>
      </c>
      <c r="M119" s="19" t="s">
        <v>69</v>
      </c>
      <c r="N119" s="20"/>
      <c r="O119" s="19" t="s">
        <v>151</v>
      </c>
      <c r="P119" s="22" t="s">
        <v>398</v>
      </c>
      <c r="Q119" s="19" t="s">
        <v>398</v>
      </c>
      <c r="R119" s="20"/>
      <c r="S119" s="38" t="str">
        <f>"430,0"</f>
        <v>430,0</v>
      </c>
      <c r="T119" s="20" t="str">
        <f>"387,0000"</f>
        <v>387,0000</v>
      </c>
      <c r="U119" s="18" t="s">
        <v>158</v>
      </c>
    </row>
    <row r="120" spans="1:21">
      <c r="B120" s="5" t="s">
        <v>40</v>
      </c>
    </row>
    <row r="121" spans="1:21" ht="15.95">
      <c r="A121" s="102" t="s">
        <v>724</v>
      </c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</row>
    <row r="122" spans="1:21">
      <c r="A122" s="13" t="s">
        <v>15</v>
      </c>
      <c r="B122" s="11" t="s">
        <v>1215</v>
      </c>
      <c r="C122" s="11" t="s">
        <v>1216</v>
      </c>
      <c r="D122" s="11" t="s">
        <v>1217</v>
      </c>
      <c r="E122" s="11" t="str">
        <f>"0,5930"</f>
        <v>0,5930</v>
      </c>
      <c r="F122" s="11" t="s">
        <v>1218</v>
      </c>
      <c r="G122" s="21" t="s">
        <v>490</v>
      </c>
      <c r="H122" s="12" t="s">
        <v>490</v>
      </c>
      <c r="I122" s="12" t="s">
        <v>491</v>
      </c>
      <c r="J122" s="13"/>
      <c r="K122" s="12" t="s">
        <v>368</v>
      </c>
      <c r="L122" s="12" t="s">
        <v>383</v>
      </c>
      <c r="M122" s="21" t="s">
        <v>374</v>
      </c>
      <c r="N122" s="13"/>
      <c r="O122" s="12" t="s">
        <v>738</v>
      </c>
      <c r="P122" s="12" t="s">
        <v>804</v>
      </c>
      <c r="Q122" s="21" t="s">
        <v>1078</v>
      </c>
      <c r="R122" s="13"/>
      <c r="S122" s="37" t="str">
        <f>"760,0"</f>
        <v>760,0</v>
      </c>
      <c r="T122" s="13" t="str">
        <f>"450,6800"</f>
        <v>450,6800</v>
      </c>
      <c r="U122" s="11" t="s">
        <v>158</v>
      </c>
    </row>
    <row r="123" spans="1:21">
      <c r="A123" s="17" t="s">
        <v>62</v>
      </c>
      <c r="B123" s="14" t="s">
        <v>1219</v>
      </c>
      <c r="C123" s="14" t="s">
        <v>1220</v>
      </c>
      <c r="D123" s="14" t="s">
        <v>779</v>
      </c>
      <c r="E123" s="14" t="str">
        <f>"0,5919"</f>
        <v>0,5919</v>
      </c>
      <c r="F123" s="14" t="s">
        <v>1221</v>
      </c>
      <c r="G123" s="15" t="s">
        <v>421</v>
      </c>
      <c r="H123" s="15" t="s">
        <v>627</v>
      </c>
      <c r="I123" s="15" t="s">
        <v>529</v>
      </c>
      <c r="J123" s="17"/>
      <c r="K123" s="15" t="s">
        <v>398</v>
      </c>
      <c r="L123" s="16" t="s">
        <v>454</v>
      </c>
      <c r="M123" s="16" t="s">
        <v>454</v>
      </c>
      <c r="N123" s="17"/>
      <c r="O123" s="15" t="s">
        <v>523</v>
      </c>
      <c r="P123" s="15" t="s">
        <v>754</v>
      </c>
      <c r="Q123" s="15" t="s">
        <v>738</v>
      </c>
      <c r="R123" s="17"/>
      <c r="S123" s="40" t="str">
        <f>"715,0"</f>
        <v>715,0</v>
      </c>
      <c r="T123" s="17" t="str">
        <f>"423,2085"</f>
        <v>423,2085</v>
      </c>
      <c r="U123" s="14" t="s">
        <v>223</v>
      </c>
    </row>
    <row r="124" spans="1:21">
      <c r="A124" s="17" t="s">
        <v>92</v>
      </c>
      <c r="B124" s="14" t="s">
        <v>1222</v>
      </c>
      <c r="C124" s="14" t="s">
        <v>1223</v>
      </c>
      <c r="D124" s="14" t="s">
        <v>762</v>
      </c>
      <c r="E124" s="14" t="str">
        <f>"0,5912"</f>
        <v>0,5912</v>
      </c>
      <c r="F124" s="14" t="s">
        <v>1224</v>
      </c>
      <c r="G124" s="15" t="s">
        <v>420</v>
      </c>
      <c r="H124" s="15" t="s">
        <v>421</v>
      </c>
      <c r="I124" s="16" t="s">
        <v>627</v>
      </c>
      <c r="J124" s="17"/>
      <c r="K124" s="16" t="s">
        <v>248</v>
      </c>
      <c r="L124" s="16" t="s">
        <v>248</v>
      </c>
      <c r="M124" s="17"/>
      <c r="N124" s="17"/>
      <c r="O124" s="17"/>
      <c r="P124" s="17"/>
      <c r="Q124" s="17"/>
      <c r="R124" s="17"/>
      <c r="S124" s="40">
        <v>0</v>
      </c>
      <c r="T124" s="17" t="str">
        <f>"0,0000"</f>
        <v>0,0000</v>
      </c>
      <c r="U124" s="14" t="s">
        <v>1225</v>
      </c>
    </row>
    <row r="125" spans="1:21">
      <c r="A125" s="17" t="s">
        <v>15</v>
      </c>
      <c r="B125" s="14" t="s">
        <v>1226</v>
      </c>
      <c r="C125" s="14" t="s">
        <v>1227</v>
      </c>
      <c r="D125" s="14" t="s">
        <v>1228</v>
      </c>
      <c r="E125" s="14" t="str">
        <f>"0,5917"</f>
        <v>0,5917</v>
      </c>
      <c r="F125" s="14" t="s">
        <v>591</v>
      </c>
      <c r="G125" s="16" t="s">
        <v>738</v>
      </c>
      <c r="H125" s="15" t="s">
        <v>738</v>
      </c>
      <c r="I125" s="16" t="s">
        <v>804</v>
      </c>
      <c r="J125" s="17"/>
      <c r="K125" s="15" t="s">
        <v>421</v>
      </c>
      <c r="L125" s="16" t="s">
        <v>437</v>
      </c>
      <c r="M125" s="15" t="s">
        <v>437</v>
      </c>
      <c r="N125" s="17"/>
      <c r="O125" s="15" t="s">
        <v>1086</v>
      </c>
      <c r="P125" s="16" t="s">
        <v>842</v>
      </c>
      <c r="Q125" s="16" t="s">
        <v>1229</v>
      </c>
      <c r="R125" s="17"/>
      <c r="S125" s="40" t="str">
        <f>"842,5"</f>
        <v>842,5</v>
      </c>
      <c r="T125" s="17" t="str">
        <f>"498,5073"</f>
        <v>498,5073</v>
      </c>
      <c r="U125" s="14" t="s">
        <v>158</v>
      </c>
    </row>
    <row r="126" spans="1:21">
      <c r="A126" s="17" t="s">
        <v>62</v>
      </c>
      <c r="B126" s="14" t="s">
        <v>1230</v>
      </c>
      <c r="C126" s="14" t="s">
        <v>1231</v>
      </c>
      <c r="D126" s="14" t="s">
        <v>1232</v>
      </c>
      <c r="E126" s="14" t="str">
        <f>"0,5907"</f>
        <v>0,5907</v>
      </c>
      <c r="F126" s="14" t="s">
        <v>906</v>
      </c>
      <c r="G126" s="15" t="s">
        <v>839</v>
      </c>
      <c r="H126" s="15" t="s">
        <v>842</v>
      </c>
      <c r="I126" s="16" t="s">
        <v>1233</v>
      </c>
      <c r="J126" s="17"/>
      <c r="K126" s="15" t="s">
        <v>152</v>
      </c>
      <c r="L126" s="15" t="s">
        <v>351</v>
      </c>
      <c r="M126" s="15" t="s">
        <v>398</v>
      </c>
      <c r="N126" s="17"/>
      <c r="O126" s="15" t="s">
        <v>804</v>
      </c>
      <c r="P126" s="16" t="s">
        <v>1078</v>
      </c>
      <c r="Q126" s="16" t="s">
        <v>1078</v>
      </c>
      <c r="R126" s="17"/>
      <c r="S126" s="40" t="str">
        <f>"820,0"</f>
        <v>820,0</v>
      </c>
      <c r="T126" s="17" t="str">
        <f>"484,3740"</f>
        <v>484,3740</v>
      </c>
      <c r="U126" s="14" t="s">
        <v>1234</v>
      </c>
    </row>
    <row r="127" spans="1:21">
      <c r="A127" s="17" t="s">
        <v>73</v>
      </c>
      <c r="B127" s="14" t="s">
        <v>1235</v>
      </c>
      <c r="C127" s="14" t="s">
        <v>1236</v>
      </c>
      <c r="D127" s="14" t="s">
        <v>1237</v>
      </c>
      <c r="E127" s="14" t="str">
        <f>"0,5909"</f>
        <v>0,5909</v>
      </c>
      <c r="F127" s="14" t="s">
        <v>1238</v>
      </c>
      <c r="G127" s="15" t="s">
        <v>523</v>
      </c>
      <c r="H127" s="15" t="s">
        <v>738</v>
      </c>
      <c r="I127" s="15" t="s">
        <v>822</v>
      </c>
      <c r="J127" s="17"/>
      <c r="K127" s="15" t="s">
        <v>374</v>
      </c>
      <c r="L127" s="15" t="s">
        <v>495</v>
      </c>
      <c r="M127" s="16" t="s">
        <v>420</v>
      </c>
      <c r="N127" s="17"/>
      <c r="O127" s="15" t="s">
        <v>822</v>
      </c>
      <c r="P127" s="15" t="s">
        <v>804</v>
      </c>
      <c r="Q127" s="15" t="s">
        <v>1043</v>
      </c>
      <c r="R127" s="17"/>
      <c r="S127" s="40" t="str">
        <f>"812,5"</f>
        <v>812,5</v>
      </c>
      <c r="T127" s="17" t="str">
        <f>"480,1063"</f>
        <v>480,1063</v>
      </c>
      <c r="U127" s="14" t="s">
        <v>158</v>
      </c>
    </row>
    <row r="128" spans="1:21">
      <c r="A128" s="17" t="s">
        <v>75</v>
      </c>
      <c r="B128" s="14" t="s">
        <v>1239</v>
      </c>
      <c r="C128" s="14" t="s">
        <v>735</v>
      </c>
      <c r="D128" s="14" t="s">
        <v>1240</v>
      </c>
      <c r="E128" s="14" t="str">
        <f>"0,5885"</f>
        <v>0,5885</v>
      </c>
      <c r="F128" s="14" t="s">
        <v>1041</v>
      </c>
      <c r="G128" s="15" t="s">
        <v>745</v>
      </c>
      <c r="H128" s="15" t="s">
        <v>804</v>
      </c>
      <c r="I128" s="16" t="s">
        <v>823</v>
      </c>
      <c r="J128" s="17"/>
      <c r="K128" s="15" t="s">
        <v>454</v>
      </c>
      <c r="L128" s="15" t="s">
        <v>743</v>
      </c>
      <c r="M128" s="15" t="s">
        <v>455</v>
      </c>
      <c r="N128" s="17"/>
      <c r="O128" s="16" t="s">
        <v>822</v>
      </c>
      <c r="P128" s="15" t="s">
        <v>822</v>
      </c>
      <c r="Q128" s="15" t="s">
        <v>1241</v>
      </c>
      <c r="R128" s="17"/>
      <c r="S128" s="40" t="str">
        <f>"805,0"</f>
        <v>805,0</v>
      </c>
      <c r="T128" s="17" t="str">
        <f>"473,7425"</f>
        <v>473,7425</v>
      </c>
      <c r="U128" s="14" t="s">
        <v>1242</v>
      </c>
    </row>
    <row r="129" spans="1:21">
      <c r="A129" s="17" t="s">
        <v>87</v>
      </c>
      <c r="B129" s="14" t="s">
        <v>1243</v>
      </c>
      <c r="C129" s="14" t="s">
        <v>1244</v>
      </c>
      <c r="D129" s="14" t="s">
        <v>1245</v>
      </c>
      <c r="E129" s="14" t="str">
        <f>"0,5998"</f>
        <v>0,5998</v>
      </c>
      <c r="F129" s="14" t="s">
        <v>1246</v>
      </c>
      <c r="G129" s="15" t="s">
        <v>640</v>
      </c>
      <c r="H129" s="15" t="s">
        <v>745</v>
      </c>
      <c r="I129" s="15" t="s">
        <v>746</v>
      </c>
      <c r="J129" s="17"/>
      <c r="K129" s="16" t="s">
        <v>392</v>
      </c>
      <c r="L129" s="15" t="s">
        <v>392</v>
      </c>
      <c r="M129" s="15" t="s">
        <v>383</v>
      </c>
      <c r="N129" s="17"/>
      <c r="O129" s="15" t="s">
        <v>1043</v>
      </c>
      <c r="P129" s="16" t="s">
        <v>1086</v>
      </c>
      <c r="Q129" s="16" t="s">
        <v>1086</v>
      </c>
      <c r="R129" s="17"/>
      <c r="S129" s="40" t="str">
        <f>"797,5"</f>
        <v>797,5</v>
      </c>
      <c r="T129" s="17" t="str">
        <f>"478,3405"</f>
        <v>478,3405</v>
      </c>
      <c r="U129" s="14" t="s">
        <v>158</v>
      </c>
    </row>
    <row r="130" spans="1:21">
      <c r="A130" s="17" t="s">
        <v>168</v>
      </c>
      <c r="B130" s="14" t="s">
        <v>1247</v>
      </c>
      <c r="C130" s="14" t="s">
        <v>1248</v>
      </c>
      <c r="D130" s="14" t="s">
        <v>1249</v>
      </c>
      <c r="E130" s="14" t="str">
        <f>"0,5902"</f>
        <v>0,5902</v>
      </c>
      <c r="F130" s="14" t="s">
        <v>1250</v>
      </c>
      <c r="G130" s="15" t="s">
        <v>523</v>
      </c>
      <c r="H130" s="15" t="s">
        <v>640</v>
      </c>
      <c r="I130" s="15" t="s">
        <v>738</v>
      </c>
      <c r="J130" s="17"/>
      <c r="K130" s="15" t="s">
        <v>374</v>
      </c>
      <c r="L130" s="15" t="s">
        <v>384</v>
      </c>
      <c r="M130" s="16" t="s">
        <v>436</v>
      </c>
      <c r="N130" s="17"/>
      <c r="O130" s="16" t="s">
        <v>804</v>
      </c>
      <c r="P130" s="15" t="s">
        <v>804</v>
      </c>
      <c r="Q130" s="16" t="s">
        <v>1086</v>
      </c>
      <c r="R130" s="17"/>
      <c r="S130" s="40" t="str">
        <f>"790,0"</f>
        <v>790,0</v>
      </c>
      <c r="T130" s="17" t="str">
        <f>"466,2580"</f>
        <v>466,2580</v>
      </c>
      <c r="U130" s="14" t="s">
        <v>158</v>
      </c>
    </row>
    <row r="131" spans="1:21">
      <c r="A131" s="17" t="s">
        <v>172</v>
      </c>
      <c r="B131" s="14" t="s">
        <v>1251</v>
      </c>
      <c r="C131" s="14" t="s">
        <v>1252</v>
      </c>
      <c r="D131" s="14" t="s">
        <v>1253</v>
      </c>
      <c r="E131" s="14" t="str">
        <f>"0,5893"</f>
        <v>0,5893</v>
      </c>
      <c r="F131" s="14" t="s">
        <v>1254</v>
      </c>
      <c r="G131" s="16" t="s">
        <v>640</v>
      </c>
      <c r="H131" s="15" t="s">
        <v>738</v>
      </c>
      <c r="I131" s="16" t="s">
        <v>999</v>
      </c>
      <c r="J131" s="17"/>
      <c r="K131" s="15" t="s">
        <v>374</v>
      </c>
      <c r="L131" s="16" t="s">
        <v>384</v>
      </c>
      <c r="M131" s="16" t="s">
        <v>384</v>
      </c>
      <c r="N131" s="17"/>
      <c r="O131" s="15" t="s">
        <v>804</v>
      </c>
      <c r="P131" s="16" t="s">
        <v>1043</v>
      </c>
      <c r="Q131" s="16" t="s">
        <v>1043</v>
      </c>
      <c r="R131" s="17"/>
      <c r="S131" s="40" t="str">
        <f>"780,0"</f>
        <v>780,0</v>
      </c>
      <c r="T131" s="17" t="str">
        <f>"459,6540"</f>
        <v>459,6540</v>
      </c>
      <c r="U131" s="14" t="s">
        <v>158</v>
      </c>
    </row>
    <row r="132" spans="1:21">
      <c r="A132" s="17" t="s">
        <v>178</v>
      </c>
      <c r="B132" s="14" t="s">
        <v>1255</v>
      </c>
      <c r="C132" s="14" t="s">
        <v>1256</v>
      </c>
      <c r="D132" s="14" t="s">
        <v>1257</v>
      </c>
      <c r="E132" s="14" t="str">
        <f>"0,5892"</f>
        <v>0,5892</v>
      </c>
      <c r="F132" s="14" t="s">
        <v>91</v>
      </c>
      <c r="G132" s="15" t="s">
        <v>523</v>
      </c>
      <c r="H132" s="15" t="s">
        <v>640</v>
      </c>
      <c r="I132" s="15" t="s">
        <v>738</v>
      </c>
      <c r="J132" s="17"/>
      <c r="K132" s="15" t="s">
        <v>374</v>
      </c>
      <c r="L132" s="15" t="s">
        <v>455</v>
      </c>
      <c r="M132" s="16" t="s">
        <v>495</v>
      </c>
      <c r="N132" s="17"/>
      <c r="O132" s="15" t="s">
        <v>490</v>
      </c>
      <c r="P132" s="15" t="s">
        <v>491</v>
      </c>
      <c r="Q132" s="16" t="s">
        <v>738</v>
      </c>
      <c r="R132" s="17"/>
      <c r="S132" s="40" t="str">
        <f>"752,5"</f>
        <v>752,5</v>
      </c>
      <c r="T132" s="17" t="str">
        <f>"443,3730"</f>
        <v>443,3730</v>
      </c>
      <c r="U132" s="14" t="s">
        <v>1258</v>
      </c>
    </row>
    <row r="133" spans="1:21">
      <c r="A133" s="17" t="s">
        <v>183</v>
      </c>
      <c r="B133" s="14" t="s">
        <v>1259</v>
      </c>
      <c r="C133" s="14" t="s">
        <v>1260</v>
      </c>
      <c r="D133" s="14" t="s">
        <v>1217</v>
      </c>
      <c r="E133" s="14" t="str">
        <f>"0,5930"</f>
        <v>0,5930</v>
      </c>
      <c r="F133" s="14" t="s">
        <v>176</v>
      </c>
      <c r="G133" s="15" t="s">
        <v>523</v>
      </c>
      <c r="H133" s="15" t="s">
        <v>640</v>
      </c>
      <c r="I133" s="16" t="s">
        <v>738</v>
      </c>
      <c r="J133" s="17"/>
      <c r="K133" s="15" t="s">
        <v>351</v>
      </c>
      <c r="L133" s="15" t="s">
        <v>368</v>
      </c>
      <c r="M133" s="15" t="s">
        <v>392</v>
      </c>
      <c r="N133" s="17"/>
      <c r="O133" s="16" t="s">
        <v>822</v>
      </c>
      <c r="P133" s="15" t="s">
        <v>822</v>
      </c>
      <c r="Q133" s="16" t="s">
        <v>1030</v>
      </c>
      <c r="R133" s="17"/>
      <c r="S133" s="40" t="str">
        <f>"750,0"</f>
        <v>750,0</v>
      </c>
      <c r="T133" s="17" t="str">
        <f>"444,7500"</f>
        <v>444,7500</v>
      </c>
      <c r="U133" s="14" t="s">
        <v>1261</v>
      </c>
    </row>
    <row r="134" spans="1:21">
      <c r="A134" s="17" t="s">
        <v>186</v>
      </c>
      <c r="B134" s="14" t="s">
        <v>1262</v>
      </c>
      <c r="C134" s="14" t="s">
        <v>1263</v>
      </c>
      <c r="D134" s="14" t="s">
        <v>1264</v>
      </c>
      <c r="E134" s="14" t="str">
        <f>"0,5948"</f>
        <v>0,5948</v>
      </c>
      <c r="F134" s="14" t="s">
        <v>1265</v>
      </c>
      <c r="G134" s="15" t="s">
        <v>523</v>
      </c>
      <c r="H134" s="16" t="s">
        <v>640</v>
      </c>
      <c r="I134" s="15" t="s">
        <v>754</v>
      </c>
      <c r="J134" s="17"/>
      <c r="K134" s="15" t="s">
        <v>398</v>
      </c>
      <c r="L134" s="15" t="s">
        <v>392</v>
      </c>
      <c r="M134" s="16" t="s">
        <v>383</v>
      </c>
      <c r="N134" s="17"/>
      <c r="O134" s="15" t="s">
        <v>640</v>
      </c>
      <c r="P134" s="15" t="s">
        <v>738</v>
      </c>
      <c r="Q134" s="16" t="s">
        <v>822</v>
      </c>
      <c r="R134" s="17"/>
      <c r="S134" s="40" t="str">
        <f>"745,0"</f>
        <v>745,0</v>
      </c>
      <c r="T134" s="17" t="str">
        <f>"443,1260"</f>
        <v>443,1260</v>
      </c>
      <c r="U134" s="14" t="s">
        <v>1266</v>
      </c>
    </row>
    <row r="135" spans="1:21">
      <c r="A135" s="17" t="s">
        <v>556</v>
      </c>
      <c r="B135" s="14" t="s">
        <v>1267</v>
      </c>
      <c r="C135" s="14" t="s">
        <v>1268</v>
      </c>
      <c r="D135" s="14" t="s">
        <v>1269</v>
      </c>
      <c r="E135" s="14" t="str">
        <f>"0,5897"</f>
        <v>0,5897</v>
      </c>
      <c r="F135" s="14" t="s">
        <v>1265</v>
      </c>
      <c r="G135" s="15" t="s">
        <v>422</v>
      </c>
      <c r="H135" s="15" t="s">
        <v>490</v>
      </c>
      <c r="I135" s="15" t="s">
        <v>523</v>
      </c>
      <c r="J135" s="17"/>
      <c r="K135" s="15" t="s">
        <v>60</v>
      </c>
      <c r="L135" s="15" t="s">
        <v>151</v>
      </c>
      <c r="M135" s="16" t="s">
        <v>248</v>
      </c>
      <c r="N135" s="17"/>
      <c r="O135" s="15" t="s">
        <v>523</v>
      </c>
      <c r="P135" s="16" t="s">
        <v>640</v>
      </c>
      <c r="Q135" s="16" t="s">
        <v>640</v>
      </c>
      <c r="R135" s="17"/>
      <c r="S135" s="40" t="str">
        <f>"680,0"</f>
        <v>680,0</v>
      </c>
      <c r="T135" s="17" t="str">
        <f>"400,9960"</f>
        <v>400,9960</v>
      </c>
      <c r="U135" s="14" t="s">
        <v>1266</v>
      </c>
    </row>
    <row r="136" spans="1:21">
      <c r="A136" s="17" t="s">
        <v>92</v>
      </c>
      <c r="B136" s="14" t="s">
        <v>1270</v>
      </c>
      <c r="C136" s="14" t="s">
        <v>1271</v>
      </c>
      <c r="D136" s="14" t="s">
        <v>1272</v>
      </c>
      <c r="E136" s="14" t="str">
        <f>"0,5935"</f>
        <v>0,5935</v>
      </c>
      <c r="F136" s="14" t="s">
        <v>176</v>
      </c>
      <c r="G136" s="16" t="s">
        <v>490</v>
      </c>
      <c r="H136" s="16" t="s">
        <v>490</v>
      </c>
      <c r="I136" s="16" t="s">
        <v>490</v>
      </c>
      <c r="J136" s="17"/>
      <c r="K136" s="17"/>
      <c r="L136" s="17"/>
      <c r="M136" s="16"/>
      <c r="N136" s="17"/>
      <c r="O136" s="17"/>
      <c r="P136" s="17"/>
      <c r="Q136" s="16"/>
      <c r="R136" s="17"/>
      <c r="S136" s="40">
        <v>0</v>
      </c>
      <c r="T136" s="17" t="str">
        <f>"0,0000"</f>
        <v>0,0000</v>
      </c>
      <c r="U136" s="14" t="s">
        <v>158</v>
      </c>
    </row>
    <row r="137" spans="1:21">
      <c r="A137" s="17" t="s">
        <v>15</v>
      </c>
      <c r="B137" s="14" t="s">
        <v>1273</v>
      </c>
      <c r="C137" s="14" t="s">
        <v>1274</v>
      </c>
      <c r="D137" s="14" t="s">
        <v>1275</v>
      </c>
      <c r="E137" s="14" t="str">
        <f>"0,6009"</f>
        <v>0,6009</v>
      </c>
      <c r="F137" s="14" t="s">
        <v>1204</v>
      </c>
      <c r="G137" s="16" t="s">
        <v>420</v>
      </c>
      <c r="H137" s="15" t="s">
        <v>420</v>
      </c>
      <c r="I137" s="16" t="s">
        <v>421</v>
      </c>
      <c r="J137" s="17"/>
      <c r="K137" s="15" t="s">
        <v>209</v>
      </c>
      <c r="L137" s="15" t="s">
        <v>58</v>
      </c>
      <c r="M137" s="16" t="s">
        <v>59</v>
      </c>
      <c r="N137" s="17"/>
      <c r="O137" s="15" t="s">
        <v>420</v>
      </c>
      <c r="P137" s="15" t="s">
        <v>422</v>
      </c>
      <c r="Q137" s="16" t="s">
        <v>490</v>
      </c>
      <c r="R137" s="17"/>
      <c r="S137" s="40" t="str">
        <f>"600,0"</f>
        <v>600,0</v>
      </c>
      <c r="T137" s="17" t="str">
        <f>"382,1724"</f>
        <v>382,1724</v>
      </c>
      <c r="U137" s="14" t="s">
        <v>158</v>
      </c>
    </row>
    <row r="138" spans="1:21">
      <c r="A138" s="17" t="s">
        <v>62</v>
      </c>
      <c r="B138" s="14" t="s">
        <v>774</v>
      </c>
      <c r="C138" s="14" t="s">
        <v>775</v>
      </c>
      <c r="D138" s="14" t="s">
        <v>776</v>
      </c>
      <c r="E138" s="14" t="str">
        <f>"0,5910"</f>
        <v>0,5910</v>
      </c>
      <c r="F138" s="14" t="s">
        <v>602</v>
      </c>
      <c r="G138" s="15" t="s">
        <v>420</v>
      </c>
      <c r="H138" s="15" t="s">
        <v>421</v>
      </c>
      <c r="I138" s="16" t="s">
        <v>422</v>
      </c>
      <c r="J138" s="17"/>
      <c r="K138" s="15" t="s">
        <v>60</v>
      </c>
      <c r="L138" s="15" t="s">
        <v>151</v>
      </c>
      <c r="M138" s="15" t="s">
        <v>248</v>
      </c>
      <c r="N138" s="17"/>
      <c r="O138" s="16" t="s">
        <v>374</v>
      </c>
      <c r="P138" s="15" t="s">
        <v>374</v>
      </c>
      <c r="Q138" s="16" t="s">
        <v>384</v>
      </c>
      <c r="R138" s="17"/>
      <c r="S138" s="40" t="str">
        <f>"600,0"</f>
        <v>600,0</v>
      </c>
      <c r="T138" s="17" t="str">
        <f>"370,2024"</f>
        <v>370,2024</v>
      </c>
      <c r="U138" s="14" t="s">
        <v>158</v>
      </c>
    </row>
    <row r="139" spans="1:21">
      <c r="A139" s="20" t="s">
        <v>15</v>
      </c>
      <c r="B139" s="18" t="s">
        <v>1276</v>
      </c>
      <c r="C139" s="18" t="s">
        <v>1277</v>
      </c>
      <c r="D139" s="18" t="s">
        <v>1278</v>
      </c>
      <c r="E139" s="18" t="str">
        <f>"0,5992"</f>
        <v>0,5992</v>
      </c>
      <c r="F139" s="18" t="s">
        <v>1279</v>
      </c>
      <c r="G139" s="19" t="s">
        <v>56</v>
      </c>
      <c r="H139" s="19" t="s">
        <v>145</v>
      </c>
      <c r="I139" s="19" t="s">
        <v>209</v>
      </c>
      <c r="J139" s="20"/>
      <c r="K139" s="19" t="s">
        <v>56</v>
      </c>
      <c r="L139" s="19" t="s">
        <v>145</v>
      </c>
      <c r="M139" s="22" t="s">
        <v>71</v>
      </c>
      <c r="N139" s="20"/>
      <c r="O139" s="19" t="s">
        <v>205</v>
      </c>
      <c r="P139" s="19" t="s">
        <v>152</v>
      </c>
      <c r="Q139" s="19" t="s">
        <v>351</v>
      </c>
      <c r="R139" s="20"/>
      <c r="S139" s="38" t="str">
        <f>"435,0"</f>
        <v>435,0</v>
      </c>
      <c r="T139" s="20" t="str">
        <f>"443,1084"</f>
        <v>443,1084</v>
      </c>
      <c r="U139" s="18" t="s">
        <v>158</v>
      </c>
    </row>
    <row r="140" spans="1:21">
      <c r="B140" s="5" t="s">
        <v>40</v>
      </c>
    </row>
    <row r="141" spans="1:21" ht="15.95">
      <c r="A141" s="102" t="s">
        <v>783</v>
      </c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</row>
    <row r="142" spans="1:21">
      <c r="A142" s="13" t="s">
        <v>15</v>
      </c>
      <c r="B142" s="11" t="s">
        <v>1280</v>
      </c>
      <c r="C142" s="11" t="s">
        <v>1281</v>
      </c>
      <c r="D142" s="11" t="s">
        <v>1282</v>
      </c>
      <c r="E142" s="11" t="str">
        <f>"0,5707"</f>
        <v>0,5707</v>
      </c>
      <c r="F142" s="11" t="s">
        <v>1283</v>
      </c>
      <c r="G142" s="12" t="s">
        <v>1086</v>
      </c>
      <c r="H142" s="12" t="s">
        <v>842</v>
      </c>
      <c r="I142" s="12" t="s">
        <v>1142</v>
      </c>
      <c r="J142" s="13"/>
      <c r="K142" s="12" t="s">
        <v>420</v>
      </c>
      <c r="L142" s="12" t="s">
        <v>421</v>
      </c>
      <c r="M142" s="21" t="s">
        <v>422</v>
      </c>
      <c r="N142" s="13"/>
      <c r="O142" s="12" t="s">
        <v>1043</v>
      </c>
      <c r="P142" s="12" t="s">
        <v>1086</v>
      </c>
      <c r="Q142" s="21" t="s">
        <v>1151</v>
      </c>
      <c r="R142" s="13"/>
      <c r="S142" s="37" t="str">
        <f>"910,0"</f>
        <v>910,0</v>
      </c>
      <c r="T142" s="13" t="str">
        <f>"519,3370"</f>
        <v>519,3370</v>
      </c>
      <c r="U142" s="11" t="s">
        <v>158</v>
      </c>
    </row>
    <row r="143" spans="1:21">
      <c r="A143" s="17" t="s">
        <v>62</v>
      </c>
      <c r="B143" s="14" t="s">
        <v>1284</v>
      </c>
      <c r="C143" s="14" t="s">
        <v>1285</v>
      </c>
      <c r="D143" s="14" t="s">
        <v>1286</v>
      </c>
      <c r="E143" s="14" t="str">
        <f>"0,5737"</f>
        <v>0,5737</v>
      </c>
      <c r="F143" s="14" t="s">
        <v>1287</v>
      </c>
      <c r="G143" s="15" t="s">
        <v>804</v>
      </c>
      <c r="H143" s="15" t="s">
        <v>1086</v>
      </c>
      <c r="I143" s="16" t="s">
        <v>1151</v>
      </c>
      <c r="J143" s="17"/>
      <c r="K143" s="15" t="s">
        <v>374</v>
      </c>
      <c r="L143" s="15" t="s">
        <v>384</v>
      </c>
      <c r="M143" s="15" t="s">
        <v>420</v>
      </c>
      <c r="N143" s="17"/>
      <c r="O143" s="15" t="s">
        <v>804</v>
      </c>
      <c r="P143" s="15" t="s">
        <v>1078</v>
      </c>
      <c r="Q143" s="15" t="s">
        <v>839</v>
      </c>
      <c r="R143" s="17"/>
      <c r="S143" s="40" t="str">
        <f>"865,0"</f>
        <v>865,0</v>
      </c>
      <c r="T143" s="17" t="str">
        <f>"496,2505"</f>
        <v>496,2505</v>
      </c>
      <c r="U143" s="14" t="s">
        <v>158</v>
      </c>
    </row>
    <row r="144" spans="1:21">
      <c r="A144" s="17" t="s">
        <v>73</v>
      </c>
      <c r="B144" s="14" t="s">
        <v>1288</v>
      </c>
      <c r="C144" s="14" t="s">
        <v>1289</v>
      </c>
      <c r="D144" s="14" t="s">
        <v>1290</v>
      </c>
      <c r="E144" s="14" t="str">
        <f>"0,5745"</f>
        <v>0,5745</v>
      </c>
      <c r="F144" s="14" t="s">
        <v>1291</v>
      </c>
      <c r="G144" s="15" t="s">
        <v>1078</v>
      </c>
      <c r="H144" s="15" t="s">
        <v>1151</v>
      </c>
      <c r="I144" s="16" t="s">
        <v>1292</v>
      </c>
      <c r="J144" s="17"/>
      <c r="K144" s="15" t="s">
        <v>368</v>
      </c>
      <c r="L144" s="15" t="s">
        <v>383</v>
      </c>
      <c r="M144" s="15" t="s">
        <v>743</v>
      </c>
      <c r="N144" s="17"/>
      <c r="O144" s="15" t="s">
        <v>822</v>
      </c>
      <c r="P144" s="15" t="s">
        <v>1043</v>
      </c>
      <c r="Q144" s="16" t="s">
        <v>839</v>
      </c>
      <c r="R144" s="17"/>
      <c r="S144" s="40" t="str">
        <f>"842,5"</f>
        <v>842,5</v>
      </c>
      <c r="T144" s="17" t="str">
        <f>"484,0163"</f>
        <v>484,0163</v>
      </c>
      <c r="U144" s="14" t="s">
        <v>799</v>
      </c>
    </row>
    <row r="145" spans="1:21">
      <c r="A145" s="17" t="s">
        <v>75</v>
      </c>
      <c r="B145" s="14" t="s">
        <v>1293</v>
      </c>
      <c r="C145" s="14" t="s">
        <v>1294</v>
      </c>
      <c r="D145" s="14" t="s">
        <v>1295</v>
      </c>
      <c r="E145" s="14" t="str">
        <f>"0,5698"</f>
        <v>0,5698</v>
      </c>
      <c r="F145" s="14" t="s">
        <v>1296</v>
      </c>
      <c r="G145" s="15" t="s">
        <v>738</v>
      </c>
      <c r="H145" s="16" t="s">
        <v>804</v>
      </c>
      <c r="I145" s="16" t="s">
        <v>804</v>
      </c>
      <c r="J145" s="17"/>
      <c r="K145" s="15" t="s">
        <v>374</v>
      </c>
      <c r="L145" s="16" t="s">
        <v>384</v>
      </c>
      <c r="M145" s="16" t="s">
        <v>495</v>
      </c>
      <c r="N145" s="17"/>
      <c r="O145" s="15" t="s">
        <v>822</v>
      </c>
      <c r="P145" s="15" t="s">
        <v>1043</v>
      </c>
      <c r="Q145" s="15" t="s">
        <v>1078</v>
      </c>
      <c r="R145" s="17"/>
      <c r="S145" s="40" t="str">
        <f>"795,0"</f>
        <v>795,0</v>
      </c>
      <c r="T145" s="17" t="str">
        <f>"452,9910"</f>
        <v>452,9910</v>
      </c>
      <c r="U145" s="14" t="s">
        <v>158</v>
      </c>
    </row>
    <row r="146" spans="1:21">
      <c r="A146" s="17" t="s">
        <v>87</v>
      </c>
      <c r="B146" s="14" t="s">
        <v>1297</v>
      </c>
      <c r="C146" s="14" t="s">
        <v>1298</v>
      </c>
      <c r="D146" s="14" t="s">
        <v>1299</v>
      </c>
      <c r="E146" s="14" t="str">
        <f>"0,5731"</f>
        <v>0,5731</v>
      </c>
      <c r="F146" s="14" t="s">
        <v>1300</v>
      </c>
      <c r="G146" s="15" t="s">
        <v>421</v>
      </c>
      <c r="H146" s="16" t="s">
        <v>422</v>
      </c>
      <c r="I146" s="17"/>
      <c r="J146" s="17"/>
      <c r="K146" s="15" t="s">
        <v>248</v>
      </c>
      <c r="L146" s="16" t="s">
        <v>398</v>
      </c>
      <c r="M146" s="16" t="s">
        <v>398</v>
      </c>
      <c r="N146" s="17"/>
      <c r="O146" s="15" t="s">
        <v>822</v>
      </c>
      <c r="P146" s="15" t="s">
        <v>804</v>
      </c>
      <c r="Q146" s="16" t="s">
        <v>823</v>
      </c>
      <c r="R146" s="17"/>
      <c r="S146" s="40" t="str">
        <f>"700,0"</f>
        <v>700,0</v>
      </c>
      <c r="T146" s="17" t="str">
        <f>"401,1700"</f>
        <v>401,1700</v>
      </c>
      <c r="U146" s="14" t="s">
        <v>1301</v>
      </c>
    </row>
    <row r="147" spans="1:21">
      <c r="A147" s="17" t="s">
        <v>168</v>
      </c>
      <c r="B147" s="14" t="s">
        <v>1302</v>
      </c>
      <c r="C147" s="14" t="s">
        <v>1303</v>
      </c>
      <c r="D147" s="14" t="s">
        <v>1304</v>
      </c>
      <c r="E147" s="14" t="str">
        <f>"0,5774"</f>
        <v>0,5774</v>
      </c>
      <c r="F147" s="14" t="s">
        <v>91</v>
      </c>
      <c r="G147" s="15" t="s">
        <v>374</v>
      </c>
      <c r="H147" s="15" t="s">
        <v>384</v>
      </c>
      <c r="I147" s="15" t="s">
        <v>420</v>
      </c>
      <c r="J147" s="17"/>
      <c r="K147" s="15" t="s">
        <v>58</v>
      </c>
      <c r="L147" s="15" t="s">
        <v>204</v>
      </c>
      <c r="M147" s="16" t="s">
        <v>60</v>
      </c>
      <c r="N147" s="17"/>
      <c r="O147" s="15" t="s">
        <v>399</v>
      </c>
      <c r="P147" s="15" t="s">
        <v>495</v>
      </c>
      <c r="Q147" s="15" t="s">
        <v>421</v>
      </c>
      <c r="R147" s="17"/>
      <c r="S147" s="40" t="str">
        <f>"597,5"</f>
        <v>597,5</v>
      </c>
      <c r="T147" s="17" t="str">
        <f>"344,9965"</f>
        <v>344,9965</v>
      </c>
      <c r="U147" s="14" t="s">
        <v>1305</v>
      </c>
    </row>
    <row r="148" spans="1:21">
      <c r="A148" s="17" t="s">
        <v>172</v>
      </c>
      <c r="B148" s="14" t="s">
        <v>1306</v>
      </c>
      <c r="C148" s="14" t="s">
        <v>1307</v>
      </c>
      <c r="D148" s="14" t="s">
        <v>1308</v>
      </c>
      <c r="E148" s="14" t="str">
        <f>"0,5820"</f>
        <v>0,5820</v>
      </c>
      <c r="F148" s="14" t="s">
        <v>1309</v>
      </c>
      <c r="G148" s="15" t="s">
        <v>248</v>
      </c>
      <c r="H148" s="15" t="s">
        <v>368</v>
      </c>
      <c r="I148" s="17"/>
      <c r="J148" s="17"/>
      <c r="K148" s="15" t="s">
        <v>58</v>
      </c>
      <c r="L148" s="15" t="s">
        <v>60</v>
      </c>
      <c r="M148" s="17"/>
      <c r="N148" s="17"/>
      <c r="O148" s="15" t="s">
        <v>374</v>
      </c>
      <c r="P148" s="15" t="s">
        <v>436</v>
      </c>
      <c r="Q148" s="16" t="s">
        <v>420</v>
      </c>
      <c r="R148" s="17"/>
      <c r="S148" s="40" t="str">
        <f>"550,0"</f>
        <v>550,0</v>
      </c>
      <c r="T148" s="17" t="str">
        <f>"320,1000"</f>
        <v>320,1000</v>
      </c>
      <c r="U148" s="14" t="s">
        <v>1310</v>
      </c>
    </row>
    <row r="149" spans="1:21">
      <c r="A149" s="17" t="s">
        <v>92</v>
      </c>
      <c r="B149" s="14" t="s">
        <v>1311</v>
      </c>
      <c r="C149" s="14" t="s">
        <v>1312</v>
      </c>
      <c r="D149" s="14" t="s">
        <v>1313</v>
      </c>
      <c r="E149" s="14" t="str">
        <f>"0,5735"</f>
        <v>0,5735</v>
      </c>
      <c r="F149" s="14" t="s">
        <v>1314</v>
      </c>
      <c r="G149" s="16" t="s">
        <v>422</v>
      </c>
      <c r="H149" s="17"/>
      <c r="I149" s="17"/>
      <c r="J149" s="17"/>
      <c r="K149" s="17"/>
      <c r="L149" s="17"/>
      <c r="M149" s="17"/>
      <c r="N149" s="17"/>
      <c r="O149" s="16"/>
      <c r="P149" s="17"/>
      <c r="Q149" s="17"/>
      <c r="R149" s="17"/>
      <c r="S149" s="40">
        <v>0</v>
      </c>
      <c r="T149" s="17" t="str">
        <f>"0,0000"</f>
        <v>0,0000</v>
      </c>
      <c r="U149" s="14" t="s">
        <v>1315</v>
      </c>
    </row>
    <row r="150" spans="1:21">
      <c r="A150" s="17" t="s">
        <v>15</v>
      </c>
      <c r="B150" s="14" t="s">
        <v>1293</v>
      </c>
      <c r="C150" s="14" t="s">
        <v>1316</v>
      </c>
      <c r="D150" s="14" t="s">
        <v>1295</v>
      </c>
      <c r="E150" s="14" t="str">
        <f>"0,5698"</f>
        <v>0,5698</v>
      </c>
      <c r="F150" s="14" t="s">
        <v>1296</v>
      </c>
      <c r="G150" s="15" t="s">
        <v>738</v>
      </c>
      <c r="H150" s="16" t="s">
        <v>804</v>
      </c>
      <c r="I150" s="16" t="s">
        <v>804</v>
      </c>
      <c r="J150" s="17"/>
      <c r="K150" s="15" t="s">
        <v>374</v>
      </c>
      <c r="L150" s="16" t="s">
        <v>384</v>
      </c>
      <c r="M150" s="16" t="s">
        <v>495</v>
      </c>
      <c r="N150" s="17"/>
      <c r="O150" s="15" t="s">
        <v>822</v>
      </c>
      <c r="P150" s="15" t="s">
        <v>1043</v>
      </c>
      <c r="Q150" s="15" t="s">
        <v>1078</v>
      </c>
      <c r="R150" s="17"/>
      <c r="S150" s="40" t="str">
        <f>"795,0"</f>
        <v>795,0</v>
      </c>
      <c r="T150" s="17" t="str">
        <f>"459,3329"</f>
        <v>459,3329</v>
      </c>
      <c r="U150" s="14" t="s">
        <v>158</v>
      </c>
    </row>
    <row r="151" spans="1:21">
      <c r="A151" s="20" t="s">
        <v>62</v>
      </c>
      <c r="B151" s="18" t="s">
        <v>1317</v>
      </c>
      <c r="C151" s="18" t="s">
        <v>1318</v>
      </c>
      <c r="D151" s="18" t="s">
        <v>1295</v>
      </c>
      <c r="E151" s="18" t="str">
        <f>"0,5698"</f>
        <v>0,5698</v>
      </c>
      <c r="F151" s="18" t="s">
        <v>1204</v>
      </c>
      <c r="G151" s="19" t="s">
        <v>491</v>
      </c>
      <c r="H151" s="19" t="s">
        <v>738</v>
      </c>
      <c r="I151" s="22" t="s">
        <v>822</v>
      </c>
      <c r="J151" s="20"/>
      <c r="K151" s="19" t="s">
        <v>368</v>
      </c>
      <c r="L151" s="19" t="s">
        <v>374</v>
      </c>
      <c r="M151" s="20"/>
      <c r="N151" s="20"/>
      <c r="O151" s="19" t="s">
        <v>640</v>
      </c>
      <c r="P151" s="19" t="s">
        <v>738</v>
      </c>
      <c r="Q151" s="19" t="s">
        <v>745</v>
      </c>
      <c r="R151" s="20"/>
      <c r="S151" s="38" t="str">
        <f>"765,0"</f>
        <v>765,0</v>
      </c>
      <c r="T151" s="20" t="str">
        <f>"485,5893"</f>
        <v>485,5893</v>
      </c>
      <c r="U151" s="18" t="s">
        <v>158</v>
      </c>
    </row>
    <row r="152" spans="1:21">
      <c r="B152" s="5" t="s">
        <v>40</v>
      </c>
    </row>
    <row r="153" spans="1:21" ht="15.95">
      <c r="A153" s="102" t="s">
        <v>794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</row>
    <row r="154" spans="1:21">
      <c r="A154" s="13" t="s">
        <v>15</v>
      </c>
      <c r="B154" s="11" t="s">
        <v>1319</v>
      </c>
      <c r="C154" s="11" t="s">
        <v>1320</v>
      </c>
      <c r="D154" s="11" t="s">
        <v>1321</v>
      </c>
      <c r="E154" s="11" t="str">
        <f>"0,5588"</f>
        <v>0,5588</v>
      </c>
      <c r="F154" s="11" t="s">
        <v>91</v>
      </c>
      <c r="G154" s="21" t="s">
        <v>804</v>
      </c>
      <c r="H154" s="12" t="s">
        <v>804</v>
      </c>
      <c r="I154" s="12" t="s">
        <v>1086</v>
      </c>
      <c r="J154" s="13"/>
      <c r="K154" s="12" t="s">
        <v>384</v>
      </c>
      <c r="L154" s="12" t="s">
        <v>442</v>
      </c>
      <c r="M154" s="12" t="s">
        <v>459</v>
      </c>
      <c r="N154" s="13"/>
      <c r="O154" s="12" t="s">
        <v>523</v>
      </c>
      <c r="P154" s="12" t="s">
        <v>738</v>
      </c>
      <c r="Q154" s="21" t="s">
        <v>822</v>
      </c>
      <c r="R154" s="13"/>
      <c r="S154" s="37" t="str">
        <f>"835,0"</f>
        <v>835,0</v>
      </c>
      <c r="T154" s="13" t="str">
        <f>"466,5980"</f>
        <v>466,5980</v>
      </c>
      <c r="U154" s="11" t="s">
        <v>1000</v>
      </c>
    </row>
    <row r="155" spans="1:21">
      <c r="A155" s="20" t="s">
        <v>62</v>
      </c>
      <c r="B155" s="18" t="s">
        <v>800</v>
      </c>
      <c r="C155" s="18" t="s">
        <v>801</v>
      </c>
      <c r="D155" s="18" t="s">
        <v>802</v>
      </c>
      <c r="E155" s="18" t="str">
        <f>"0,5662"</f>
        <v>0,5662</v>
      </c>
      <c r="F155" s="18" t="s">
        <v>690</v>
      </c>
      <c r="G155" s="19" t="s">
        <v>523</v>
      </c>
      <c r="H155" s="19" t="s">
        <v>754</v>
      </c>
      <c r="I155" s="19" t="s">
        <v>803</v>
      </c>
      <c r="J155" s="20"/>
      <c r="K155" s="19" t="s">
        <v>368</v>
      </c>
      <c r="L155" s="22" t="s">
        <v>506</v>
      </c>
      <c r="M155" s="22" t="s">
        <v>374</v>
      </c>
      <c r="N155" s="20"/>
      <c r="O155" s="19" t="s">
        <v>804</v>
      </c>
      <c r="P155" s="22" t="s">
        <v>805</v>
      </c>
      <c r="Q155" s="19" t="s">
        <v>805</v>
      </c>
      <c r="R155" s="20"/>
      <c r="S155" s="38" t="str">
        <f>"790,0"</f>
        <v>790,0</v>
      </c>
      <c r="T155" s="20" t="str">
        <f>"447,2980"</f>
        <v>447,2980</v>
      </c>
      <c r="U155" s="18" t="s">
        <v>158</v>
      </c>
    </row>
    <row r="156" spans="1:21">
      <c r="B156" s="5" t="s">
        <v>40</v>
      </c>
    </row>
    <row r="157" spans="1:21" ht="15.95">
      <c r="A157" s="102" t="s">
        <v>818</v>
      </c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</row>
    <row r="158" spans="1:21">
      <c r="A158" s="13" t="s">
        <v>15</v>
      </c>
      <c r="B158" s="11" t="s">
        <v>1322</v>
      </c>
      <c r="C158" s="11" t="s">
        <v>1323</v>
      </c>
      <c r="D158" s="11" t="s">
        <v>1324</v>
      </c>
      <c r="E158" s="11" t="str">
        <f>"0,5547"</f>
        <v>0,5547</v>
      </c>
      <c r="F158" s="11" t="s">
        <v>1325</v>
      </c>
      <c r="G158" s="12" t="s">
        <v>58</v>
      </c>
      <c r="H158" s="12" t="s">
        <v>205</v>
      </c>
      <c r="I158" s="13"/>
      <c r="J158" s="13"/>
      <c r="K158" s="12" t="s">
        <v>67</v>
      </c>
      <c r="L158" s="12" t="s">
        <v>37</v>
      </c>
      <c r="M158" s="12" t="s">
        <v>38</v>
      </c>
      <c r="N158" s="13"/>
      <c r="O158" s="12" t="s">
        <v>60</v>
      </c>
      <c r="P158" s="12" t="s">
        <v>248</v>
      </c>
      <c r="Q158" s="13"/>
      <c r="R158" s="13"/>
      <c r="S158" s="37" t="str">
        <f>"425,0"</f>
        <v>425,0</v>
      </c>
      <c r="T158" s="13" t="str">
        <f>"235,7475"</f>
        <v>235,7475</v>
      </c>
      <c r="U158" s="11" t="s">
        <v>158</v>
      </c>
    </row>
    <row r="159" spans="1:21">
      <c r="A159" s="17" t="s">
        <v>15</v>
      </c>
      <c r="B159" s="14" t="s">
        <v>1326</v>
      </c>
      <c r="C159" s="14" t="s">
        <v>1327</v>
      </c>
      <c r="D159" s="14" t="s">
        <v>1328</v>
      </c>
      <c r="E159" s="14" t="str">
        <f>"0,5482"</f>
        <v>0,5482</v>
      </c>
      <c r="F159" s="14" t="s">
        <v>1105</v>
      </c>
      <c r="G159" s="15" t="s">
        <v>1078</v>
      </c>
      <c r="H159" s="15" t="s">
        <v>842</v>
      </c>
      <c r="I159" s="15" t="s">
        <v>1141</v>
      </c>
      <c r="J159" s="17"/>
      <c r="K159" s="15" t="s">
        <v>550</v>
      </c>
      <c r="L159" s="15" t="s">
        <v>398</v>
      </c>
      <c r="M159" s="16" t="s">
        <v>368</v>
      </c>
      <c r="N159" s="17"/>
      <c r="O159" s="15" t="s">
        <v>1087</v>
      </c>
      <c r="P159" s="15" t="s">
        <v>1141</v>
      </c>
      <c r="Q159" s="16" t="s">
        <v>1329</v>
      </c>
      <c r="R159" s="17"/>
      <c r="S159" s="40" t="str">
        <f>"890,0"</f>
        <v>890,0</v>
      </c>
      <c r="T159" s="17" t="str">
        <f>"487,8980"</f>
        <v>487,8980</v>
      </c>
      <c r="U159" s="14" t="s">
        <v>1330</v>
      </c>
    </row>
    <row r="160" spans="1:21">
      <c r="A160" s="17" t="s">
        <v>62</v>
      </c>
      <c r="B160" s="14" t="s">
        <v>1331</v>
      </c>
      <c r="C160" s="14" t="s">
        <v>1332</v>
      </c>
      <c r="D160" s="14" t="s">
        <v>1333</v>
      </c>
      <c r="E160" s="14" t="str">
        <f>"0,5586"</f>
        <v>0,5586</v>
      </c>
      <c r="F160" s="14" t="s">
        <v>66</v>
      </c>
      <c r="G160" s="15" t="s">
        <v>822</v>
      </c>
      <c r="H160" s="16" t="s">
        <v>1030</v>
      </c>
      <c r="I160" s="16" t="s">
        <v>1030</v>
      </c>
      <c r="J160" s="17"/>
      <c r="K160" s="15" t="s">
        <v>454</v>
      </c>
      <c r="L160" s="15" t="s">
        <v>743</v>
      </c>
      <c r="M160" s="16" t="s">
        <v>455</v>
      </c>
      <c r="N160" s="17"/>
      <c r="O160" s="15" t="s">
        <v>738</v>
      </c>
      <c r="P160" s="15" t="s">
        <v>822</v>
      </c>
      <c r="Q160" s="16" t="s">
        <v>804</v>
      </c>
      <c r="R160" s="17"/>
      <c r="S160" s="40" t="str">
        <f>"782,5"</f>
        <v>782,5</v>
      </c>
      <c r="T160" s="17" t="str">
        <f>"437,1045"</f>
        <v>437,1045</v>
      </c>
      <c r="U160" s="14" t="s">
        <v>1305</v>
      </c>
    </row>
    <row r="161" spans="1:21">
      <c r="A161" s="20" t="s">
        <v>15</v>
      </c>
      <c r="B161" s="18" t="s">
        <v>1331</v>
      </c>
      <c r="C161" s="18" t="s">
        <v>1334</v>
      </c>
      <c r="D161" s="18" t="s">
        <v>1333</v>
      </c>
      <c r="E161" s="18" t="str">
        <f>"0,5586"</f>
        <v>0,5586</v>
      </c>
      <c r="F161" s="18" t="s">
        <v>66</v>
      </c>
      <c r="G161" s="19" t="s">
        <v>822</v>
      </c>
      <c r="H161" s="22" t="s">
        <v>1030</v>
      </c>
      <c r="I161" s="22" t="s">
        <v>1030</v>
      </c>
      <c r="J161" s="20"/>
      <c r="K161" s="19" t="s">
        <v>454</v>
      </c>
      <c r="L161" s="19" t="s">
        <v>743</v>
      </c>
      <c r="M161" s="22" t="s">
        <v>455</v>
      </c>
      <c r="N161" s="20"/>
      <c r="O161" s="19" t="s">
        <v>738</v>
      </c>
      <c r="P161" s="19" t="s">
        <v>822</v>
      </c>
      <c r="Q161" s="22" t="s">
        <v>804</v>
      </c>
      <c r="R161" s="20"/>
      <c r="S161" s="38" t="str">
        <f>"782,5"</f>
        <v>782,5</v>
      </c>
      <c r="T161" s="20" t="str">
        <f>"456,3371"</f>
        <v>456,3371</v>
      </c>
      <c r="U161" s="18" t="s">
        <v>1305</v>
      </c>
    </row>
    <row r="162" spans="1:21">
      <c r="B162" s="5" t="s">
        <v>40</v>
      </c>
    </row>
    <row r="165" spans="1:21" ht="18">
      <c r="B165" s="23" t="s">
        <v>830</v>
      </c>
      <c r="C165" s="23"/>
    </row>
    <row r="166" spans="1:21" ht="15.95">
      <c r="B166" s="95" t="s">
        <v>831</v>
      </c>
      <c r="C166" s="95"/>
    </row>
    <row r="167" spans="1:21" ht="14.1">
      <c r="B167" s="24"/>
      <c r="C167" s="24" t="s">
        <v>832</v>
      </c>
    </row>
    <row r="168" spans="1:21" ht="14.1">
      <c r="B168" s="4" t="s">
        <v>833</v>
      </c>
      <c r="C168" s="4" t="s">
        <v>834</v>
      </c>
      <c r="D168" s="4" t="s">
        <v>835</v>
      </c>
      <c r="E168" s="4" t="s">
        <v>836</v>
      </c>
      <c r="F168" s="4" t="s">
        <v>837</v>
      </c>
    </row>
    <row r="169" spans="1:21">
      <c r="B169" s="5" t="s">
        <v>912</v>
      </c>
      <c r="C169" s="5" t="s">
        <v>832</v>
      </c>
      <c r="D169" s="6" t="s">
        <v>844</v>
      </c>
      <c r="E169" s="6" t="s">
        <v>1335</v>
      </c>
      <c r="F169" s="6" t="s">
        <v>1336</v>
      </c>
    </row>
    <row r="170" spans="1:21">
      <c r="B170" s="5" t="s">
        <v>933</v>
      </c>
      <c r="C170" s="5" t="s">
        <v>832</v>
      </c>
      <c r="D170" s="6" t="s">
        <v>861</v>
      </c>
      <c r="E170" s="6" t="s">
        <v>1337</v>
      </c>
      <c r="F170" s="6" t="s">
        <v>1338</v>
      </c>
    </row>
    <row r="171" spans="1:21">
      <c r="B171" s="5" t="s">
        <v>905</v>
      </c>
      <c r="C171" s="5" t="s">
        <v>832</v>
      </c>
      <c r="D171" s="6" t="s">
        <v>850</v>
      </c>
      <c r="E171" s="6" t="s">
        <v>1339</v>
      </c>
      <c r="F171" s="6" t="s">
        <v>1340</v>
      </c>
    </row>
    <row r="173" spans="1:21" ht="15.95">
      <c r="B173" s="95" t="s">
        <v>855</v>
      </c>
      <c r="C173" s="95"/>
    </row>
    <row r="174" spans="1:21" ht="14.1">
      <c r="B174" s="24"/>
      <c r="C174" s="24" t="s">
        <v>856</v>
      </c>
    </row>
    <row r="175" spans="1:21" ht="14.1">
      <c r="B175" s="4" t="s">
        <v>833</v>
      </c>
      <c r="C175" s="4" t="s">
        <v>834</v>
      </c>
      <c r="D175" s="4" t="s">
        <v>835</v>
      </c>
      <c r="E175" s="4" t="s">
        <v>836</v>
      </c>
      <c r="F175" s="4" t="s">
        <v>837</v>
      </c>
    </row>
    <row r="176" spans="1:21">
      <c r="B176" s="5" t="s">
        <v>1055</v>
      </c>
      <c r="C176" s="5" t="s">
        <v>857</v>
      </c>
      <c r="D176" s="6" t="s">
        <v>858</v>
      </c>
      <c r="E176" s="6" t="s">
        <v>1341</v>
      </c>
      <c r="F176" s="6" t="s">
        <v>1342</v>
      </c>
    </row>
    <row r="177" spans="2:6">
      <c r="B177" s="5" t="s">
        <v>987</v>
      </c>
      <c r="C177" s="5" t="s">
        <v>857</v>
      </c>
      <c r="D177" s="6" t="s">
        <v>861</v>
      </c>
      <c r="E177" s="6" t="s">
        <v>1343</v>
      </c>
      <c r="F177" s="6" t="s">
        <v>1344</v>
      </c>
    </row>
    <row r="178" spans="2:6">
      <c r="B178" s="5" t="s">
        <v>962</v>
      </c>
      <c r="C178" s="5" t="s">
        <v>857</v>
      </c>
      <c r="D178" s="6" t="s">
        <v>844</v>
      </c>
      <c r="E178" s="6" t="s">
        <v>1345</v>
      </c>
      <c r="F178" s="6" t="s">
        <v>1346</v>
      </c>
    </row>
    <row r="180" spans="2:6" ht="14.1">
      <c r="B180" s="24"/>
      <c r="C180" s="24" t="s">
        <v>866</v>
      </c>
    </row>
    <row r="181" spans="2:6" ht="14.1">
      <c r="B181" s="4" t="s">
        <v>833</v>
      </c>
      <c r="C181" s="4" t="s">
        <v>834</v>
      </c>
      <c r="D181" s="4" t="s">
        <v>835</v>
      </c>
      <c r="E181" s="4" t="s">
        <v>836</v>
      </c>
      <c r="F181" s="4" t="s">
        <v>837</v>
      </c>
    </row>
    <row r="182" spans="2:6">
      <c r="B182" s="5" t="s">
        <v>1027</v>
      </c>
      <c r="C182" s="5" t="s">
        <v>866</v>
      </c>
      <c r="D182" s="6" t="s">
        <v>868</v>
      </c>
      <c r="E182" s="6" t="s">
        <v>1347</v>
      </c>
      <c r="F182" s="6" t="s">
        <v>1348</v>
      </c>
    </row>
    <row r="183" spans="2:6">
      <c r="B183" s="5" t="s">
        <v>1215</v>
      </c>
      <c r="C183" s="5" t="s">
        <v>866</v>
      </c>
      <c r="D183" s="6" t="s">
        <v>1349</v>
      </c>
      <c r="E183" s="6" t="s">
        <v>1350</v>
      </c>
      <c r="F183" s="6" t="s">
        <v>1351</v>
      </c>
    </row>
    <row r="184" spans="2:6">
      <c r="B184" s="5" t="s">
        <v>1219</v>
      </c>
      <c r="C184" s="5" t="s">
        <v>866</v>
      </c>
      <c r="D184" s="6" t="s">
        <v>1349</v>
      </c>
      <c r="E184" s="6" t="s">
        <v>1352</v>
      </c>
      <c r="F184" s="6" t="s">
        <v>1353</v>
      </c>
    </row>
    <row r="186" spans="2:6" ht="14.1">
      <c r="B186" s="24"/>
      <c r="C186" s="24" t="s">
        <v>832</v>
      </c>
    </row>
    <row r="187" spans="2:6" ht="14.1">
      <c r="B187" s="4" t="s">
        <v>833</v>
      </c>
      <c r="C187" s="4" t="s">
        <v>834</v>
      </c>
      <c r="D187" s="4" t="s">
        <v>835</v>
      </c>
      <c r="E187" s="4" t="s">
        <v>836</v>
      </c>
      <c r="F187" s="4" t="s">
        <v>837</v>
      </c>
    </row>
    <row r="188" spans="2:6">
      <c r="B188" s="5" t="s">
        <v>1138</v>
      </c>
      <c r="C188" s="5" t="s">
        <v>832</v>
      </c>
      <c r="D188" s="6" t="s">
        <v>888</v>
      </c>
      <c r="E188" s="6" t="s">
        <v>1354</v>
      </c>
      <c r="F188" s="6" t="s">
        <v>1355</v>
      </c>
    </row>
    <row r="189" spans="2:6">
      <c r="B189" s="5" t="s">
        <v>1280</v>
      </c>
      <c r="C189" s="5" t="s">
        <v>832</v>
      </c>
      <c r="D189" s="6" t="s">
        <v>1356</v>
      </c>
      <c r="E189" s="6" t="s">
        <v>1357</v>
      </c>
      <c r="F189" s="6" t="s">
        <v>1358</v>
      </c>
    </row>
    <row r="190" spans="2:6">
      <c r="B190" s="5" t="s">
        <v>1039</v>
      </c>
      <c r="C190" s="5" t="s">
        <v>832</v>
      </c>
      <c r="D190" s="6" t="s">
        <v>868</v>
      </c>
      <c r="E190" s="6" t="s">
        <v>1359</v>
      </c>
      <c r="F190" s="6" t="s">
        <v>1360</v>
      </c>
    </row>
    <row r="192" spans="2:6" ht="14.1">
      <c r="B192" s="24"/>
      <c r="C192" s="24" t="s">
        <v>847</v>
      </c>
    </row>
    <row r="193" spans="2:6" ht="14.1">
      <c r="B193" s="4" t="s">
        <v>833</v>
      </c>
      <c r="C193" s="4" t="s">
        <v>834</v>
      </c>
      <c r="D193" s="4" t="s">
        <v>835</v>
      </c>
      <c r="E193" s="4" t="s">
        <v>836</v>
      </c>
      <c r="F193" s="4" t="s">
        <v>837</v>
      </c>
    </row>
    <row r="194" spans="2:6">
      <c r="B194" s="5" t="s">
        <v>667</v>
      </c>
      <c r="C194" s="5" t="s">
        <v>881</v>
      </c>
      <c r="D194" s="6" t="s">
        <v>858</v>
      </c>
      <c r="E194" s="6" t="s">
        <v>882</v>
      </c>
      <c r="F194" s="6" t="s">
        <v>883</v>
      </c>
    </row>
    <row r="195" spans="2:6">
      <c r="B195" s="5" t="s">
        <v>982</v>
      </c>
      <c r="C195" s="5" t="s">
        <v>1361</v>
      </c>
      <c r="D195" s="6" t="s">
        <v>844</v>
      </c>
      <c r="E195" s="6" t="s">
        <v>1078</v>
      </c>
      <c r="F195" s="6" t="s">
        <v>1362</v>
      </c>
    </row>
    <row r="196" spans="2:6">
      <c r="B196" s="5" t="s">
        <v>1205</v>
      </c>
      <c r="C196" s="5" t="s">
        <v>884</v>
      </c>
      <c r="D196" s="6" t="s">
        <v>888</v>
      </c>
      <c r="E196" s="6" t="s">
        <v>1363</v>
      </c>
      <c r="F196" s="6" t="s">
        <v>1364</v>
      </c>
    </row>
    <row r="197" spans="2:6">
      <c r="B197" s="5" t="s">
        <v>40</v>
      </c>
    </row>
  </sheetData>
  <mergeCells count="30">
    <mergeCell ref="A40:T40"/>
    <mergeCell ref="S3:S4"/>
    <mergeCell ref="A5:T5"/>
    <mergeCell ref="A9:T9"/>
    <mergeCell ref="A12:T12"/>
    <mergeCell ref="A16:T16"/>
    <mergeCell ref="A23:T23"/>
    <mergeCell ref="A31:T31"/>
    <mergeCell ref="A34:T34"/>
    <mergeCell ref="A37:T37"/>
    <mergeCell ref="A153:T153"/>
    <mergeCell ref="A157:T157"/>
    <mergeCell ref="A49:T49"/>
    <mergeCell ref="A59:T59"/>
    <mergeCell ref="A70:T70"/>
    <mergeCell ref="A91:T91"/>
    <mergeCell ref="A121:T121"/>
    <mergeCell ref="A141:T141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T3:T4"/>
    <mergeCell ref="U3:U4"/>
    <mergeCell ref="B3:B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62"/>
  <sheetViews>
    <sheetView workbookViewId="0">
      <selection sqref="A1:M2"/>
    </sheetView>
  </sheetViews>
  <sheetFormatPr defaultColWidth="9.140625" defaultRowHeight="12.95"/>
  <cols>
    <col min="1" max="1" width="7.42578125" style="6" bestFit="1" customWidth="1"/>
    <col min="2" max="2" width="23.28515625" style="5" bestFit="1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18.7109375" style="5" bestFit="1" customWidth="1"/>
    <col min="7" max="10" width="5.42578125" style="6" bestFit="1" customWidth="1"/>
    <col min="11" max="11" width="11.28515625" style="6" bestFit="1" customWidth="1"/>
    <col min="12" max="12" width="8.42578125" style="6" bestFit="1" customWidth="1"/>
    <col min="13" max="13" width="16" style="5" bestFit="1" customWidth="1"/>
    <col min="14" max="16384" width="9.140625" style="3"/>
  </cols>
  <sheetData>
    <row r="1" spans="1:13" s="2" customFormat="1" ht="29.1" customHeight="1">
      <c r="A1" s="103" t="s">
        <v>3718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3599</v>
      </c>
      <c r="F3" s="114" t="s">
        <v>6</v>
      </c>
      <c r="G3" s="114" t="s">
        <v>8</v>
      </c>
      <c r="H3" s="114"/>
      <c r="I3" s="114"/>
      <c r="J3" s="114"/>
      <c r="K3" s="114" t="s">
        <v>2294</v>
      </c>
      <c r="L3" s="114" t="s">
        <v>11</v>
      </c>
      <c r="M3" s="99" t="s">
        <v>12</v>
      </c>
    </row>
    <row r="4" spans="1:13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113"/>
      <c r="L4" s="113"/>
      <c r="M4" s="100"/>
    </row>
    <row r="5" spans="1:13" ht="15.95">
      <c r="A5" s="101" t="s">
        <v>301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3">
      <c r="A6" s="13" t="s">
        <v>15</v>
      </c>
      <c r="B6" s="11" t="s">
        <v>3719</v>
      </c>
      <c r="C6" s="11" t="s">
        <v>3720</v>
      </c>
      <c r="D6" s="11" t="s">
        <v>3721</v>
      </c>
      <c r="E6" s="11" t="str">
        <f>"0,7117"</f>
        <v>0,7117</v>
      </c>
      <c r="F6" s="11" t="s">
        <v>2938</v>
      </c>
      <c r="G6" s="12" t="s">
        <v>205</v>
      </c>
      <c r="H6" s="21" t="s">
        <v>427</v>
      </c>
      <c r="I6" s="12" t="s">
        <v>152</v>
      </c>
      <c r="J6" s="13"/>
      <c r="K6" s="13" t="str">
        <f>"165,0"</f>
        <v>165,0</v>
      </c>
      <c r="L6" s="13" t="str">
        <f>"117,4305"</f>
        <v>117,4305</v>
      </c>
      <c r="M6" s="11" t="s">
        <v>158</v>
      </c>
    </row>
    <row r="7" spans="1:13">
      <c r="A7" s="20" t="s">
        <v>15</v>
      </c>
      <c r="B7" s="18" t="s">
        <v>3722</v>
      </c>
      <c r="C7" s="18" t="s">
        <v>3723</v>
      </c>
      <c r="D7" s="18" t="s">
        <v>313</v>
      </c>
      <c r="E7" s="18" t="str">
        <f>"0,6899"</f>
        <v>0,6899</v>
      </c>
      <c r="F7" s="18" t="s">
        <v>91</v>
      </c>
      <c r="G7" s="19" t="s">
        <v>804</v>
      </c>
      <c r="H7" s="19" t="s">
        <v>1043</v>
      </c>
      <c r="I7" s="19" t="s">
        <v>1078</v>
      </c>
      <c r="J7" s="19" t="s">
        <v>1711</v>
      </c>
      <c r="K7" s="20" t="str">
        <f>"315,0"</f>
        <v>315,0</v>
      </c>
      <c r="L7" s="20" t="str">
        <f>"217,3185"</f>
        <v>217,3185</v>
      </c>
      <c r="M7" s="18" t="s">
        <v>158</v>
      </c>
    </row>
    <row r="8" spans="1:13">
      <c r="B8" s="5" t="s">
        <v>40</v>
      </c>
    </row>
    <row r="9" spans="1:13" ht="15.95">
      <c r="A9" s="102" t="s">
        <v>334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3">
      <c r="A10" s="13" t="s">
        <v>15</v>
      </c>
      <c r="B10" s="11" t="s">
        <v>3724</v>
      </c>
      <c r="C10" s="11" t="s">
        <v>3725</v>
      </c>
      <c r="D10" s="11" t="s">
        <v>3132</v>
      </c>
      <c r="E10" s="11" t="str">
        <f>"0,6497"</f>
        <v>0,6497</v>
      </c>
      <c r="F10" s="11" t="s">
        <v>547</v>
      </c>
      <c r="G10" s="12" t="s">
        <v>421</v>
      </c>
      <c r="H10" s="12" t="s">
        <v>422</v>
      </c>
      <c r="I10" s="12" t="s">
        <v>490</v>
      </c>
      <c r="J10" s="13"/>
      <c r="K10" s="13" t="str">
        <f>"250,0"</f>
        <v>250,0</v>
      </c>
      <c r="L10" s="13" t="str">
        <f>"162,4375"</f>
        <v>162,4375</v>
      </c>
      <c r="M10" s="11" t="s">
        <v>158</v>
      </c>
    </row>
    <row r="11" spans="1:13">
      <c r="A11" s="17" t="s">
        <v>62</v>
      </c>
      <c r="B11" s="14" t="s">
        <v>3726</v>
      </c>
      <c r="C11" s="14" t="s">
        <v>3727</v>
      </c>
      <c r="D11" s="14" t="s">
        <v>567</v>
      </c>
      <c r="E11" s="14" t="str">
        <f>"0,6446"</f>
        <v>0,6446</v>
      </c>
      <c r="F11" s="14" t="s">
        <v>3728</v>
      </c>
      <c r="G11" s="16" t="s">
        <v>422</v>
      </c>
      <c r="H11" s="16" t="s">
        <v>422</v>
      </c>
      <c r="I11" s="15" t="s">
        <v>422</v>
      </c>
      <c r="J11" s="16" t="s">
        <v>523</v>
      </c>
      <c r="K11" s="17" t="str">
        <f>"240,0"</f>
        <v>240,0</v>
      </c>
      <c r="L11" s="17" t="str">
        <f>"154,7040"</f>
        <v>154,7040</v>
      </c>
      <c r="M11" s="14" t="s">
        <v>3729</v>
      </c>
    </row>
    <row r="12" spans="1:13">
      <c r="A12" s="20" t="s">
        <v>15</v>
      </c>
      <c r="B12" s="18" t="s">
        <v>3724</v>
      </c>
      <c r="C12" s="18" t="s">
        <v>3730</v>
      </c>
      <c r="D12" s="18" t="s">
        <v>3132</v>
      </c>
      <c r="E12" s="18" t="str">
        <f>"0,6497"</f>
        <v>0,6497</v>
      </c>
      <c r="F12" s="18" t="s">
        <v>547</v>
      </c>
      <c r="G12" s="19" t="s">
        <v>421</v>
      </c>
      <c r="H12" s="19" t="s">
        <v>422</v>
      </c>
      <c r="I12" s="19" t="s">
        <v>490</v>
      </c>
      <c r="J12" s="20"/>
      <c r="K12" s="20" t="str">
        <f>"250,0"</f>
        <v>250,0</v>
      </c>
      <c r="L12" s="20" t="str">
        <f>"192,3260"</f>
        <v>192,3260</v>
      </c>
      <c r="M12" s="18" t="s">
        <v>158</v>
      </c>
    </row>
    <row r="13" spans="1:13">
      <c r="B13" s="5" t="s">
        <v>40</v>
      </c>
    </row>
    <row r="14" spans="1:13" ht="15.95">
      <c r="A14" s="102" t="s">
        <v>598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3">
      <c r="A15" s="13" t="s">
        <v>15</v>
      </c>
      <c r="B15" s="11" t="s">
        <v>3615</v>
      </c>
      <c r="C15" s="11" t="s">
        <v>3616</v>
      </c>
      <c r="D15" s="11" t="s">
        <v>1076</v>
      </c>
      <c r="E15" s="11" t="str">
        <f>"0,6184"</f>
        <v>0,6184</v>
      </c>
      <c r="F15" s="11" t="s">
        <v>1155</v>
      </c>
      <c r="G15" s="21" t="s">
        <v>490</v>
      </c>
      <c r="H15" s="12" t="s">
        <v>490</v>
      </c>
      <c r="I15" s="12" t="s">
        <v>1042</v>
      </c>
      <c r="J15" s="13"/>
      <c r="K15" s="13" t="str">
        <f>"262,5"</f>
        <v>262,5</v>
      </c>
      <c r="L15" s="13" t="str">
        <f>"162,3431"</f>
        <v>162,3431</v>
      </c>
      <c r="M15" s="11" t="s">
        <v>2747</v>
      </c>
    </row>
    <row r="16" spans="1:13">
      <c r="A16" s="17" t="s">
        <v>62</v>
      </c>
      <c r="B16" s="14" t="s">
        <v>3611</v>
      </c>
      <c r="C16" s="14" t="s">
        <v>3612</v>
      </c>
      <c r="D16" s="14" t="s">
        <v>649</v>
      </c>
      <c r="E16" s="14" t="str">
        <f>"0,6169"</f>
        <v>0,6169</v>
      </c>
      <c r="F16" s="14" t="s">
        <v>3613</v>
      </c>
      <c r="G16" s="16" t="s">
        <v>645</v>
      </c>
      <c r="H16" s="15" t="s">
        <v>529</v>
      </c>
      <c r="I16" s="15" t="s">
        <v>1042</v>
      </c>
      <c r="J16" s="17"/>
      <c r="K16" s="17" t="str">
        <f>"262,5"</f>
        <v>262,5</v>
      </c>
      <c r="L16" s="17" t="str">
        <f>"161,9231"</f>
        <v>161,9231</v>
      </c>
      <c r="M16" s="14" t="s">
        <v>3614</v>
      </c>
    </row>
    <row r="17" spans="1:13">
      <c r="A17" s="17" t="s">
        <v>73</v>
      </c>
      <c r="B17" s="14" t="s">
        <v>3731</v>
      </c>
      <c r="C17" s="14" t="s">
        <v>3732</v>
      </c>
      <c r="D17" s="14" t="s">
        <v>3733</v>
      </c>
      <c r="E17" s="14" t="str">
        <f>"0,6130"</f>
        <v>0,6130</v>
      </c>
      <c r="F17" s="14" t="s">
        <v>558</v>
      </c>
      <c r="G17" s="15" t="s">
        <v>508</v>
      </c>
      <c r="H17" s="16" t="s">
        <v>645</v>
      </c>
      <c r="I17" s="16" t="s">
        <v>645</v>
      </c>
      <c r="J17" s="17"/>
      <c r="K17" s="17" t="str">
        <f>"232,5"</f>
        <v>232,5</v>
      </c>
      <c r="L17" s="17" t="str">
        <f>"142,5225"</f>
        <v>142,5225</v>
      </c>
      <c r="M17" s="14" t="s">
        <v>3734</v>
      </c>
    </row>
    <row r="18" spans="1:13">
      <c r="A18" s="20" t="s">
        <v>15</v>
      </c>
      <c r="B18" s="18" t="s">
        <v>3611</v>
      </c>
      <c r="C18" s="18" t="s">
        <v>3617</v>
      </c>
      <c r="D18" s="18" t="s">
        <v>649</v>
      </c>
      <c r="E18" s="18" t="str">
        <f>"0,6169"</f>
        <v>0,6169</v>
      </c>
      <c r="F18" s="18" t="s">
        <v>3613</v>
      </c>
      <c r="G18" s="22" t="s">
        <v>645</v>
      </c>
      <c r="H18" s="19" t="s">
        <v>529</v>
      </c>
      <c r="I18" s="19" t="s">
        <v>1042</v>
      </c>
      <c r="J18" s="20"/>
      <c r="K18" s="20" t="str">
        <f>"262,5"</f>
        <v>262,5</v>
      </c>
      <c r="L18" s="20" t="str">
        <f>"185,7258"</f>
        <v>185,7258</v>
      </c>
      <c r="M18" s="18" t="s">
        <v>3614</v>
      </c>
    </row>
    <row r="19" spans="1:13">
      <c r="B19" s="5" t="s">
        <v>40</v>
      </c>
    </row>
    <row r="20" spans="1:13" ht="15.95">
      <c r="A20" s="102" t="s">
        <v>670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1:13">
      <c r="A21" s="13" t="s">
        <v>15</v>
      </c>
      <c r="B21" s="11" t="s">
        <v>3735</v>
      </c>
      <c r="C21" s="11" t="s">
        <v>3736</v>
      </c>
      <c r="D21" s="11" t="s">
        <v>3737</v>
      </c>
      <c r="E21" s="11" t="str">
        <f>"0,5871"</f>
        <v>0,5871</v>
      </c>
      <c r="F21" s="11" t="s">
        <v>1878</v>
      </c>
      <c r="G21" s="12" t="s">
        <v>1005</v>
      </c>
      <c r="H21" s="21" t="s">
        <v>3738</v>
      </c>
      <c r="I21" s="12" t="s">
        <v>1711</v>
      </c>
      <c r="J21" s="12" t="s">
        <v>1086</v>
      </c>
      <c r="K21" s="13" t="str">
        <f>"317,5"</f>
        <v>317,5</v>
      </c>
      <c r="L21" s="13" t="str">
        <f>"186,4201"</f>
        <v>186,4201</v>
      </c>
      <c r="M21" s="11" t="s">
        <v>158</v>
      </c>
    </row>
    <row r="22" spans="1:13">
      <c r="A22" s="17" t="s">
        <v>62</v>
      </c>
      <c r="B22" s="14" t="s">
        <v>3739</v>
      </c>
      <c r="C22" s="14" t="s">
        <v>3740</v>
      </c>
      <c r="D22" s="14" t="s">
        <v>708</v>
      </c>
      <c r="E22" s="14" t="str">
        <f>"0,5813"</f>
        <v>0,5813</v>
      </c>
      <c r="F22" s="14" t="s">
        <v>2714</v>
      </c>
      <c r="G22" s="15" t="s">
        <v>804</v>
      </c>
      <c r="H22" s="15" t="s">
        <v>1043</v>
      </c>
      <c r="I22" s="15" t="s">
        <v>1711</v>
      </c>
      <c r="J22" s="16" t="s">
        <v>1086</v>
      </c>
      <c r="K22" s="17" t="str">
        <f>"317,5"</f>
        <v>317,5</v>
      </c>
      <c r="L22" s="17" t="str">
        <f>"184,5628"</f>
        <v>184,5628</v>
      </c>
      <c r="M22" s="14" t="s">
        <v>3741</v>
      </c>
    </row>
    <row r="23" spans="1:13">
      <c r="A23" s="17" t="s">
        <v>73</v>
      </c>
      <c r="B23" s="14" t="s">
        <v>3742</v>
      </c>
      <c r="C23" s="14" t="s">
        <v>3743</v>
      </c>
      <c r="D23" s="14" t="s">
        <v>677</v>
      </c>
      <c r="E23" s="14" t="str">
        <f>"0,5825"</f>
        <v>0,5825</v>
      </c>
      <c r="F23" s="14" t="s">
        <v>91</v>
      </c>
      <c r="G23" s="15" t="s">
        <v>437</v>
      </c>
      <c r="H23" s="16" t="s">
        <v>744</v>
      </c>
      <c r="I23" s="15" t="s">
        <v>744</v>
      </c>
      <c r="J23" s="17"/>
      <c r="K23" s="17" t="str">
        <f>"272,5"</f>
        <v>272,5</v>
      </c>
      <c r="L23" s="17" t="str">
        <f>"158,7449"</f>
        <v>158,7449</v>
      </c>
      <c r="M23" s="14" t="s">
        <v>158</v>
      </c>
    </row>
    <row r="24" spans="1:13">
      <c r="A24" s="17" t="s">
        <v>15</v>
      </c>
      <c r="B24" s="14" t="s">
        <v>2159</v>
      </c>
      <c r="C24" s="14" t="s">
        <v>2160</v>
      </c>
      <c r="D24" s="14" t="s">
        <v>2161</v>
      </c>
      <c r="E24" s="14" t="str">
        <f>"0,5987"</f>
        <v>0,5987</v>
      </c>
      <c r="F24" s="14" t="s">
        <v>2162</v>
      </c>
      <c r="G24" s="15" t="s">
        <v>420</v>
      </c>
      <c r="H24" s="16" t="s">
        <v>421</v>
      </c>
      <c r="I24" s="15" t="s">
        <v>421</v>
      </c>
      <c r="J24" s="17"/>
      <c r="K24" s="17" t="str">
        <f>"230,0"</f>
        <v>230,0</v>
      </c>
      <c r="L24" s="17" t="str">
        <f>"160,4217"</f>
        <v>160,4217</v>
      </c>
      <c r="M24" s="14" t="s">
        <v>2163</v>
      </c>
    </row>
    <row r="25" spans="1:13">
      <c r="A25" s="20" t="s">
        <v>15</v>
      </c>
      <c r="B25" s="18" t="s">
        <v>2831</v>
      </c>
      <c r="C25" s="18" t="s">
        <v>2832</v>
      </c>
      <c r="D25" s="18" t="s">
        <v>3744</v>
      </c>
      <c r="E25" s="18" t="str">
        <f>"0,5868"</f>
        <v>0,5868</v>
      </c>
      <c r="F25" s="18" t="s">
        <v>2128</v>
      </c>
      <c r="G25" s="19" t="s">
        <v>374</v>
      </c>
      <c r="H25" s="22" t="s">
        <v>384</v>
      </c>
      <c r="I25" s="19" t="s">
        <v>384</v>
      </c>
      <c r="J25" s="19" t="s">
        <v>436</v>
      </c>
      <c r="K25" s="20" t="str">
        <f>"210,0"</f>
        <v>210,0</v>
      </c>
      <c r="L25" s="20" t="str">
        <f>"168,3294"</f>
        <v>168,3294</v>
      </c>
      <c r="M25" s="18" t="s">
        <v>158</v>
      </c>
    </row>
    <row r="26" spans="1:13">
      <c r="B26" s="5" t="s">
        <v>40</v>
      </c>
    </row>
    <row r="27" spans="1:13" ht="15.95">
      <c r="A27" s="102" t="s">
        <v>724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1:13">
      <c r="A28" s="13" t="s">
        <v>15</v>
      </c>
      <c r="B28" s="11" t="s">
        <v>3745</v>
      </c>
      <c r="C28" s="11" t="s">
        <v>3746</v>
      </c>
      <c r="D28" s="11" t="s">
        <v>1228</v>
      </c>
      <c r="E28" s="11" t="str">
        <f>"0,5653"</f>
        <v>0,5653</v>
      </c>
      <c r="F28" s="11" t="s">
        <v>2714</v>
      </c>
      <c r="G28" s="12" t="s">
        <v>1229</v>
      </c>
      <c r="H28" s="12" t="s">
        <v>3747</v>
      </c>
      <c r="I28" s="12" t="s">
        <v>1768</v>
      </c>
      <c r="J28" s="13"/>
      <c r="K28" s="13" t="str">
        <f>"375,0"</f>
        <v>375,0</v>
      </c>
      <c r="L28" s="13" t="str">
        <f>"211,9875"</f>
        <v>211,9875</v>
      </c>
      <c r="M28" s="11" t="s">
        <v>158</v>
      </c>
    </row>
    <row r="29" spans="1:13">
      <c r="A29" s="17" t="s">
        <v>62</v>
      </c>
      <c r="B29" s="14" t="s">
        <v>774</v>
      </c>
      <c r="C29" s="14" t="s">
        <v>3627</v>
      </c>
      <c r="D29" s="14" t="s">
        <v>776</v>
      </c>
      <c r="E29" s="14" t="str">
        <f>"0,5647"</f>
        <v>0,5647</v>
      </c>
      <c r="F29" s="14" t="s">
        <v>602</v>
      </c>
      <c r="G29" s="16" t="s">
        <v>421</v>
      </c>
      <c r="H29" s="16" t="s">
        <v>490</v>
      </c>
      <c r="I29" s="15" t="s">
        <v>431</v>
      </c>
      <c r="J29" s="17"/>
      <c r="K29" s="17" t="str">
        <f>"252,5"</f>
        <v>252,5</v>
      </c>
      <c r="L29" s="17" t="str">
        <f>"142,5868"</f>
        <v>142,5868</v>
      </c>
      <c r="M29" s="14" t="s">
        <v>158</v>
      </c>
    </row>
    <row r="30" spans="1:13">
      <c r="A30" s="17" t="s">
        <v>15</v>
      </c>
      <c r="B30" s="14" t="s">
        <v>3745</v>
      </c>
      <c r="C30" s="14" t="s">
        <v>3748</v>
      </c>
      <c r="D30" s="14" t="s">
        <v>1228</v>
      </c>
      <c r="E30" s="14" t="str">
        <f>"0,5653"</f>
        <v>0,5653</v>
      </c>
      <c r="F30" s="14" t="s">
        <v>2714</v>
      </c>
      <c r="G30" s="15" t="s">
        <v>1229</v>
      </c>
      <c r="H30" s="15" t="s">
        <v>3747</v>
      </c>
      <c r="I30" s="15" t="s">
        <v>1768</v>
      </c>
      <c r="J30" s="17"/>
      <c r="K30" s="17" t="str">
        <f>"375,0"</f>
        <v>375,0</v>
      </c>
      <c r="L30" s="17" t="str">
        <f>"223,6468"</f>
        <v>223,6468</v>
      </c>
      <c r="M30" s="14" t="s">
        <v>158</v>
      </c>
    </row>
    <row r="31" spans="1:13">
      <c r="A31" s="17" t="s">
        <v>62</v>
      </c>
      <c r="B31" s="14" t="s">
        <v>774</v>
      </c>
      <c r="C31" s="14" t="s">
        <v>775</v>
      </c>
      <c r="D31" s="14" t="s">
        <v>776</v>
      </c>
      <c r="E31" s="14" t="str">
        <f>"0,5647"</f>
        <v>0,5647</v>
      </c>
      <c r="F31" s="14" t="s">
        <v>602</v>
      </c>
      <c r="G31" s="16" t="s">
        <v>421</v>
      </c>
      <c r="H31" s="16" t="s">
        <v>490</v>
      </c>
      <c r="I31" s="15" t="s">
        <v>431</v>
      </c>
      <c r="J31" s="17"/>
      <c r="K31" s="17" t="str">
        <f>"252,5"</f>
        <v>252,5</v>
      </c>
      <c r="L31" s="17" t="str">
        <f>"148,7180"</f>
        <v>148,7180</v>
      </c>
      <c r="M31" s="14" t="s">
        <v>158</v>
      </c>
    </row>
    <row r="32" spans="1:13">
      <c r="A32" s="17" t="s">
        <v>73</v>
      </c>
      <c r="B32" s="14" t="s">
        <v>3749</v>
      </c>
      <c r="C32" s="14" t="s">
        <v>3750</v>
      </c>
      <c r="D32" s="14" t="s">
        <v>1847</v>
      </c>
      <c r="E32" s="14" t="str">
        <f>"0,5688"</f>
        <v>0,5688</v>
      </c>
      <c r="F32" s="14" t="s">
        <v>1300</v>
      </c>
      <c r="G32" s="15" t="s">
        <v>490</v>
      </c>
      <c r="H32" s="16" t="s">
        <v>523</v>
      </c>
      <c r="I32" s="16" t="s">
        <v>523</v>
      </c>
      <c r="J32" s="17"/>
      <c r="K32" s="17" t="str">
        <f>"250,0"</f>
        <v>250,0</v>
      </c>
      <c r="L32" s="17" t="str">
        <f>"143,6346"</f>
        <v>143,6346</v>
      </c>
      <c r="M32" s="14" t="s">
        <v>3751</v>
      </c>
    </row>
    <row r="33" spans="1:13">
      <c r="A33" s="20" t="s">
        <v>15</v>
      </c>
      <c r="B33" s="18" t="s">
        <v>3752</v>
      </c>
      <c r="C33" s="18" t="s">
        <v>3753</v>
      </c>
      <c r="D33" s="18" t="s">
        <v>3332</v>
      </c>
      <c r="E33" s="18" t="str">
        <f>"0,5680"</f>
        <v>0,5680</v>
      </c>
      <c r="F33" s="18" t="s">
        <v>91</v>
      </c>
      <c r="G33" s="19" t="s">
        <v>151</v>
      </c>
      <c r="H33" s="19" t="s">
        <v>398</v>
      </c>
      <c r="I33" s="19" t="s">
        <v>374</v>
      </c>
      <c r="J33" s="20"/>
      <c r="K33" s="20" t="str">
        <f>"200,0"</f>
        <v>200,0</v>
      </c>
      <c r="L33" s="20" t="str">
        <f>"136,7624"</f>
        <v>136,7624</v>
      </c>
      <c r="M33" s="18" t="s">
        <v>3754</v>
      </c>
    </row>
    <row r="34" spans="1:13">
      <c r="B34" s="5" t="s">
        <v>40</v>
      </c>
    </row>
    <row r="35" spans="1:13" ht="15.95">
      <c r="A35" s="102" t="s">
        <v>783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</row>
    <row r="36" spans="1:13">
      <c r="A36" s="13" t="s">
        <v>15</v>
      </c>
      <c r="B36" s="11" t="s">
        <v>3633</v>
      </c>
      <c r="C36" s="11" t="s">
        <v>3634</v>
      </c>
      <c r="D36" s="11" t="s">
        <v>3429</v>
      </c>
      <c r="E36" s="11" t="str">
        <f>"0,5507"</f>
        <v>0,5507</v>
      </c>
      <c r="F36" s="11" t="s">
        <v>3635</v>
      </c>
      <c r="G36" s="12" t="s">
        <v>1339</v>
      </c>
      <c r="H36" s="12" t="s">
        <v>2210</v>
      </c>
      <c r="I36" s="21" t="s">
        <v>3755</v>
      </c>
      <c r="J36" s="13"/>
      <c r="K36" s="13" t="str">
        <f>"385,0"</f>
        <v>385,0</v>
      </c>
      <c r="L36" s="13" t="str">
        <f>"212,0003"</f>
        <v>212,0003</v>
      </c>
      <c r="M36" s="11" t="s">
        <v>3636</v>
      </c>
    </row>
    <row r="37" spans="1:13">
      <c r="A37" s="20" t="s">
        <v>62</v>
      </c>
      <c r="B37" s="18" t="s">
        <v>3637</v>
      </c>
      <c r="C37" s="18" t="s">
        <v>3638</v>
      </c>
      <c r="D37" s="18" t="s">
        <v>1953</v>
      </c>
      <c r="E37" s="18" t="str">
        <f>"0,5469"</f>
        <v>0,5469</v>
      </c>
      <c r="F37" s="18" t="s">
        <v>594</v>
      </c>
      <c r="G37" s="19" t="s">
        <v>738</v>
      </c>
      <c r="H37" s="19" t="s">
        <v>804</v>
      </c>
      <c r="I37" s="20"/>
      <c r="J37" s="20"/>
      <c r="K37" s="20" t="str">
        <f>"300,0"</f>
        <v>300,0</v>
      </c>
      <c r="L37" s="20" t="str">
        <f>"164,0550"</f>
        <v>164,0550</v>
      </c>
      <c r="M37" s="18" t="s">
        <v>3639</v>
      </c>
    </row>
    <row r="38" spans="1:13">
      <c r="B38" s="5" t="s">
        <v>40</v>
      </c>
    </row>
    <row r="39" spans="1:13" ht="15.95">
      <c r="A39" s="102" t="s">
        <v>794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1:13">
      <c r="A40" s="13" t="s">
        <v>15</v>
      </c>
      <c r="B40" s="11" t="s">
        <v>3756</v>
      </c>
      <c r="C40" s="11" t="s">
        <v>3757</v>
      </c>
      <c r="D40" s="11" t="s">
        <v>3758</v>
      </c>
      <c r="E40" s="11" t="str">
        <f>"0,5348"</f>
        <v>0,5348</v>
      </c>
      <c r="F40" s="11" t="s">
        <v>91</v>
      </c>
      <c r="G40" s="12" t="s">
        <v>384</v>
      </c>
      <c r="H40" s="12" t="s">
        <v>436</v>
      </c>
      <c r="I40" s="12" t="s">
        <v>420</v>
      </c>
      <c r="J40" s="13"/>
      <c r="K40" s="13" t="str">
        <f>"220,0"</f>
        <v>220,0</v>
      </c>
      <c r="L40" s="13" t="str">
        <f>"117,6516"</f>
        <v>117,6516</v>
      </c>
      <c r="M40" s="11" t="s">
        <v>158</v>
      </c>
    </row>
    <row r="41" spans="1:13">
      <c r="A41" s="17" t="s">
        <v>15</v>
      </c>
      <c r="B41" s="14" t="s">
        <v>3759</v>
      </c>
      <c r="C41" s="14" t="s">
        <v>3760</v>
      </c>
      <c r="D41" s="14" t="s">
        <v>3761</v>
      </c>
      <c r="E41" s="14" t="str">
        <f>"0,5434"</f>
        <v>0,5434</v>
      </c>
      <c r="F41" s="14" t="s">
        <v>1155</v>
      </c>
      <c r="G41" s="15" t="s">
        <v>842</v>
      </c>
      <c r="H41" s="16" t="s">
        <v>1142</v>
      </c>
      <c r="I41" s="16" t="s">
        <v>1142</v>
      </c>
      <c r="J41" s="17"/>
      <c r="K41" s="17" t="str">
        <f>"340,0"</f>
        <v>340,0</v>
      </c>
      <c r="L41" s="17" t="str">
        <f>"184,7662"</f>
        <v>184,7662</v>
      </c>
      <c r="M41" s="14" t="s">
        <v>158</v>
      </c>
    </row>
    <row r="42" spans="1:13">
      <c r="A42" s="20" t="s">
        <v>15</v>
      </c>
      <c r="B42" s="18" t="s">
        <v>3759</v>
      </c>
      <c r="C42" s="18" t="s">
        <v>3762</v>
      </c>
      <c r="D42" s="18" t="s">
        <v>3761</v>
      </c>
      <c r="E42" s="18" t="str">
        <f>"0,5434"</f>
        <v>0,5434</v>
      </c>
      <c r="F42" s="18" t="s">
        <v>1155</v>
      </c>
      <c r="G42" s="19" t="s">
        <v>842</v>
      </c>
      <c r="H42" s="22" t="s">
        <v>1142</v>
      </c>
      <c r="I42" s="22" t="s">
        <v>1142</v>
      </c>
      <c r="J42" s="20"/>
      <c r="K42" s="20" t="str">
        <f>"340,0"</f>
        <v>340,0</v>
      </c>
      <c r="L42" s="20" t="str">
        <f>"218,7632"</f>
        <v>218,7632</v>
      </c>
      <c r="M42" s="18" t="s">
        <v>158</v>
      </c>
    </row>
    <row r="43" spans="1:13">
      <c r="B43" s="5" t="s">
        <v>40</v>
      </c>
    </row>
    <row r="44" spans="1:13" ht="15.95">
      <c r="A44" s="102" t="s">
        <v>818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1:13">
      <c r="A45" s="10" t="s">
        <v>15</v>
      </c>
      <c r="B45" s="7" t="s">
        <v>825</v>
      </c>
      <c r="C45" s="7" t="s">
        <v>826</v>
      </c>
      <c r="D45" s="7" t="s">
        <v>827</v>
      </c>
      <c r="E45" s="7" t="str">
        <f>"0,5150"</f>
        <v>0,5150</v>
      </c>
      <c r="F45" s="7" t="s">
        <v>828</v>
      </c>
      <c r="G45" s="8" t="s">
        <v>1151</v>
      </c>
      <c r="H45" s="8" t="s">
        <v>1229</v>
      </c>
      <c r="I45" s="9" t="s">
        <v>1339</v>
      </c>
      <c r="J45" s="10"/>
      <c r="K45" s="10" t="str">
        <f>"350,0"</f>
        <v>350,0</v>
      </c>
      <c r="L45" s="10" t="str">
        <f>"180,2465"</f>
        <v>180,2465</v>
      </c>
      <c r="M45" s="7" t="s">
        <v>829</v>
      </c>
    </row>
    <row r="46" spans="1:13">
      <c r="B46" s="5" t="s">
        <v>40</v>
      </c>
    </row>
    <row r="49" spans="2:6" ht="18">
      <c r="B49" s="23" t="s">
        <v>830</v>
      </c>
      <c r="C49" s="23"/>
    </row>
    <row r="50" spans="2:6" ht="15.95">
      <c r="B50" s="95" t="s">
        <v>855</v>
      </c>
      <c r="C50" s="95"/>
    </row>
    <row r="51" spans="2:6" ht="14.1">
      <c r="B51" s="24"/>
      <c r="C51" s="24" t="s">
        <v>832</v>
      </c>
    </row>
    <row r="52" spans="2:6" ht="14.1">
      <c r="B52" s="4" t="s">
        <v>833</v>
      </c>
      <c r="C52" s="4" t="s">
        <v>834</v>
      </c>
      <c r="D52" s="4" t="s">
        <v>835</v>
      </c>
      <c r="E52" s="4" t="s">
        <v>2294</v>
      </c>
      <c r="F52" s="4" t="s">
        <v>3650</v>
      </c>
    </row>
    <row r="53" spans="2:6">
      <c r="B53" s="5" t="s">
        <v>3722</v>
      </c>
      <c r="C53" s="5" t="s">
        <v>832</v>
      </c>
      <c r="D53" s="6" t="s">
        <v>861</v>
      </c>
      <c r="E53" s="6" t="s">
        <v>1078</v>
      </c>
      <c r="F53" s="6" t="s">
        <v>3763</v>
      </c>
    </row>
    <row r="54" spans="2:6">
      <c r="B54" s="5" t="s">
        <v>3633</v>
      </c>
      <c r="C54" s="5" t="s">
        <v>832</v>
      </c>
      <c r="D54" s="6" t="s">
        <v>1356</v>
      </c>
      <c r="E54" s="6" t="s">
        <v>2210</v>
      </c>
      <c r="F54" s="6" t="s">
        <v>3764</v>
      </c>
    </row>
    <row r="55" spans="2:6">
      <c r="B55" s="5" t="s">
        <v>3745</v>
      </c>
      <c r="C55" s="5" t="s">
        <v>832</v>
      </c>
      <c r="D55" s="6" t="s">
        <v>1349</v>
      </c>
      <c r="E55" s="6" t="s">
        <v>1768</v>
      </c>
      <c r="F55" s="6" t="s">
        <v>3765</v>
      </c>
    </row>
    <row r="57" spans="2:6" ht="14.1">
      <c r="B57" s="24"/>
      <c r="C57" s="24" t="s">
        <v>847</v>
      </c>
    </row>
    <row r="58" spans="2:6" ht="14.1">
      <c r="B58" s="4" t="s">
        <v>833</v>
      </c>
      <c r="C58" s="4" t="s">
        <v>834</v>
      </c>
      <c r="D58" s="4" t="s">
        <v>835</v>
      </c>
      <c r="E58" s="4" t="s">
        <v>2294</v>
      </c>
      <c r="F58" s="4" t="s">
        <v>3650</v>
      </c>
    </row>
    <row r="59" spans="2:6">
      <c r="B59" s="5" t="s">
        <v>3745</v>
      </c>
      <c r="C59" s="5" t="s">
        <v>848</v>
      </c>
      <c r="D59" s="6" t="s">
        <v>1349</v>
      </c>
      <c r="E59" s="6" t="s">
        <v>1768</v>
      </c>
      <c r="F59" s="6" t="s">
        <v>3766</v>
      </c>
    </row>
    <row r="60" spans="2:6">
      <c r="B60" s="5" t="s">
        <v>3759</v>
      </c>
      <c r="C60" s="5" t="s">
        <v>884</v>
      </c>
      <c r="D60" s="6" t="s">
        <v>875</v>
      </c>
      <c r="E60" s="6" t="s">
        <v>842</v>
      </c>
      <c r="F60" s="6" t="s">
        <v>3767</v>
      </c>
    </row>
    <row r="61" spans="2:6">
      <c r="B61" s="5" t="s">
        <v>3724</v>
      </c>
      <c r="C61" s="5" t="s">
        <v>884</v>
      </c>
      <c r="D61" s="6" t="s">
        <v>868</v>
      </c>
      <c r="E61" s="6" t="s">
        <v>490</v>
      </c>
      <c r="F61" s="6" t="s">
        <v>3768</v>
      </c>
    </row>
    <row r="62" spans="2:6">
      <c r="B62" s="5" t="s">
        <v>40</v>
      </c>
    </row>
  </sheetData>
  <mergeCells count="19">
    <mergeCell ref="A20:L20"/>
    <mergeCell ref="A27:L27"/>
    <mergeCell ref="A35:L35"/>
    <mergeCell ref="A39:L39"/>
    <mergeCell ref="A44:L44"/>
    <mergeCell ref="A9:L9"/>
    <mergeCell ref="A14:L14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5:L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89"/>
  <sheetViews>
    <sheetView workbookViewId="0">
      <selection activeCell="A51" sqref="A51:L51"/>
    </sheetView>
  </sheetViews>
  <sheetFormatPr defaultColWidth="9.140625" defaultRowHeight="12.95"/>
  <cols>
    <col min="1" max="1" width="7.42578125" style="6" bestFit="1" customWidth="1"/>
    <col min="2" max="2" width="23.28515625" style="5" bestFit="1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23.140625" style="5" bestFit="1" customWidth="1"/>
    <col min="7" max="10" width="5.42578125" style="6" bestFit="1" customWidth="1"/>
    <col min="11" max="11" width="11.28515625" style="39" bestFit="1" customWidth="1"/>
    <col min="12" max="12" width="8.42578125" style="6" bestFit="1" customWidth="1"/>
    <col min="13" max="13" width="21.7109375" style="5" customWidth="1"/>
    <col min="14" max="16384" width="9.140625" style="3"/>
  </cols>
  <sheetData>
    <row r="1" spans="1:13" s="2" customFormat="1" ht="29.1" customHeight="1">
      <c r="A1" s="103" t="s">
        <v>3769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3599</v>
      </c>
      <c r="F3" s="114" t="s">
        <v>6</v>
      </c>
      <c r="G3" s="114" t="s">
        <v>8</v>
      </c>
      <c r="H3" s="114"/>
      <c r="I3" s="114"/>
      <c r="J3" s="114"/>
      <c r="K3" s="117" t="s">
        <v>2294</v>
      </c>
      <c r="L3" s="114" t="s">
        <v>11</v>
      </c>
      <c r="M3" s="99" t="s">
        <v>12</v>
      </c>
    </row>
    <row r="4" spans="1:13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118"/>
      <c r="L4" s="113"/>
      <c r="M4" s="100"/>
    </row>
    <row r="5" spans="1:13" ht="15.95">
      <c r="A5" s="101" t="s">
        <v>241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3">
      <c r="A6" s="13" t="s">
        <v>15</v>
      </c>
      <c r="B6" s="11" t="s">
        <v>3770</v>
      </c>
      <c r="C6" s="11" t="s">
        <v>1770</v>
      </c>
      <c r="D6" s="11" t="s">
        <v>925</v>
      </c>
      <c r="E6" s="11" t="str">
        <f>"0,9081"</f>
        <v>0,9081</v>
      </c>
      <c r="F6" s="11" t="s">
        <v>695</v>
      </c>
      <c r="G6" s="12" t="s">
        <v>152</v>
      </c>
      <c r="H6" s="12" t="s">
        <v>248</v>
      </c>
      <c r="I6" s="12" t="s">
        <v>398</v>
      </c>
      <c r="J6" s="13"/>
      <c r="K6" s="37" t="str">
        <f>"180,0"</f>
        <v>180,0</v>
      </c>
      <c r="L6" s="13" t="str">
        <f>"163,4490"</f>
        <v>163,4490</v>
      </c>
      <c r="M6" s="11" t="s">
        <v>3771</v>
      </c>
    </row>
    <row r="7" spans="1:13">
      <c r="A7" s="17" t="s">
        <v>62</v>
      </c>
      <c r="B7" s="14" t="s">
        <v>3772</v>
      </c>
      <c r="C7" s="14" t="s">
        <v>3773</v>
      </c>
      <c r="D7" s="14" t="s">
        <v>3774</v>
      </c>
      <c r="E7" s="14" t="str">
        <f>"0,9135"</f>
        <v>0,9135</v>
      </c>
      <c r="F7" s="14" t="s">
        <v>91</v>
      </c>
      <c r="G7" s="15" t="s">
        <v>248</v>
      </c>
      <c r="H7" s="15" t="s">
        <v>351</v>
      </c>
      <c r="I7" s="16" t="s">
        <v>398</v>
      </c>
      <c r="J7" s="17"/>
      <c r="K7" s="40" t="str">
        <f>"175,0"</f>
        <v>175,0</v>
      </c>
      <c r="L7" s="17" t="str">
        <f>"159,8538"</f>
        <v>159,8538</v>
      </c>
      <c r="M7" s="14" t="s">
        <v>1594</v>
      </c>
    </row>
    <row r="8" spans="1:13">
      <c r="A8" s="17" t="s">
        <v>73</v>
      </c>
      <c r="B8" s="14" t="s">
        <v>3775</v>
      </c>
      <c r="C8" s="14" t="s">
        <v>3776</v>
      </c>
      <c r="D8" s="14" t="s">
        <v>2372</v>
      </c>
      <c r="E8" s="14" t="str">
        <f>"0,9266"</f>
        <v>0,9266</v>
      </c>
      <c r="F8" s="14" t="s">
        <v>695</v>
      </c>
      <c r="G8" s="16" t="s">
        <v>70</v>
      </c>
      <c r="H8" s="15" t="s">
        <v>70</v>
      </c>
      <c r="I8" s="16" t="s">
        <v>145</v>
      </c>
      <c r="J8" s="17"/>
      <c r="K8" s="40" t="str">
        <f>"120,0"</f>
        <v>120,0</v>
      </c>
      <c r="L8" s="17" t="str">
        <f>"111,1980"</f>
        <v>111,1980</v>
      </c>
      <c r="M8" s="14" t="s">
        <v>3777</v>
      </c>
    </row>
    <row r="9" spans="1:13">
      <c r="A9" s="20" t="s">
        <v>15</v>
      </c>
      <c r="B9" s="18" t="s">
        <v>3772</v>
      </c>
      <c r="C9" s="18" t="s">
        <v>3778</v>
      </c>
      <c r="D9" s="18" t="s">
        <v>3774</v>
      </c>
      <c r="E9" s="18" t="str">
        <f>"0,9135"</f>
        <v>0,9135</v>
      </c>
      <c r="F9" s="18" t="s">
        <v>91</v>
      </c>
      <c r="G9" s="19" t="s">
        <v>248</v>
      </c>
      <c r="H9" s="19" t="s">
        <v>351</v>
      </c>
      <c r="I9" s="22" t="s">
        <v>398</v>
      </c>
      <c r="J9" s="20"/>
      <c r="K9" s="38" t="str">
        <f>"175,0"</f>
        <v>175,0</v>
      </c>
      <c r="L9" s="20" t="str">
        <f>"189,2668"</f>
        <v>189,2668</v>
      </c>
      <c r="M9" s="18" t="s">
        <v>1594</v>
      </c>
    </row>
    <row r="10" spans="1:13">
      <c r="B10" s="5" t="s">
        <v>40</v>
      </c>
    </row>
    <row r="11" spans="1:13" ht="15.95">
      <c r="A11" s="102" t="s">
        <v>334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3">
      <c r="A12" s="10" t="s">
        <v>15</v>
      </c>
      <c r="B12" s="7" t="s">
        <v>3054</v>
      </c>
      <c r="C12" s="7" t="s">
        <v>3055</v>
      </c>
      <c r="D12" s="7" t="s">
        <v>516</v>
      </c>
      <c r="E12" s="7" t="str">
        <f>"0,7883"</f>
        <v>0,7883</v>
      </c>
      <c r="F12" s="7" t="s">
        <v>1155</v>
      </c>
      <c r="G12" s="8" t="s">
        <v>248</v>
      </c>
      <c r="H12" s="8" t="s">
        <v>368</v>
      </c>
      <c r="I12" s="8" t="s">
        <v>374</v>
      </c>
      <c r="J12" s="10"/>
      <c r="K12" s="41" t="str">
        <f>"200,0"</f>
        <v>200,0</v>
      </c>
      <c r="L12" s="10" t="str">
        <f>"157,6600"</f>
        <v>157,6600</v>
      </c>
      <c r="M12" s="7" t="s">
        <v>158</v>
      </c>
    </row>
    <row r="13" spans="1:13">
      <c r="B13" s="5" t="s">
        <v>40</v>
      </c>
    </row>
    <row r="14" spans="1:13" ht="15.95">
      <c r="A14" s="102" t="s">
        <v>334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3">
      <c r="A15" s="13" t="s">
        <v>15</v>
      </c>
      <c r="B15" s="11" t="s">
        <v>3779</v>
      </c>
      <c r="C15" s="11" t="s">
        <v>3780</v>
      </c>
      <c r="D15" s="11" t="s">
        <v>546</v>
      </c>
      <c r="E15" s="11" t="str">
        <f>"0,6567"</f>
        <v>0,6567</v>
      </c>
      <c r="F15" s="11" t="s">
        <v>3781</v>
      </c>
      <c r="G15" s="12" t="s">
        <v>640</v>
      </c>
      <c r="H15" s="21" t="s">
        <v>745</v>
      </c>
      <c r="I15" s="21" t="s">
        <v>1241</v>
      </c>
      <c r="J15" s="13"/>
      <c r="K15" s="37" t="str">
        <f>"270,0"</f>
        <v>270,0</v>
      </c>
      <c r="L15" s="13" t="str">
        <f>"177,3090"</f>
        <v>177,3090</v>
      </c>
      <c r="M15" s="11" t="s">
        <v>447</v>
      </c>
    </row>
    <row r="16" spans="1:13">
      <c r="A16" s="17" t="s">
        <v>15</v>
      </c>
      <c r="B16" s="14" t="s">
        <v>3138</v>
      </c>
      <c r="C16" s="14" t="s">
        <v>3139</v>
      </c>
      <c r="D16" s="14" t="s">
        <v>590</v>
      </c>
      <c r="E16" s="14" t="str">
        <f>"0,6471"</f>
        <v>0,6471</v>
      </c>
      <c r="F16" s="14" t="s">
        <v>1238</v>
      </c>
      <c r="G16" s="15" t="s">
        <v>1194</v>
      </c>
      <c r="H16" s="15" t="s">
        <v>1086</v>
      </c>
      <c r="I16" s="15" t="s">
        <v>3782</v>
      </c>
      <c r="J16" s="17"/>
      <c r="K16" s="40" t="str">
        <f>"342,0"</f>
        <v>342,0</v>
      </c>
      <c r="L16" s="17" t="str">
        <f>"221,3253"</f>
        <v>221,3253</v>
      </c>
      <c r="M16" s="14" t="s">
        <v>158</v>
      </c>
    </row>
    <row r="17" spans="1:13">
      <c r="A17" s="17" t="s">
        <v>62</v>
      </c>
      <c r="B17" s="14" t="s">
        <v>2235</v>
      </c>
      <c r="C17" s="14" t="s">
        <v>2236</v>
      </c>
      <c r="D17" s="14" t="s">
        <v>468</v>
      </c>
      <c r="E17" s="14" t="str">
        <f>"0,6492"</f>
        <v>0,6492</v>
      </c>
      <c r="F17" s="14" t="s">
        <v>1238</v>
      </c>
      <c r="G17" s="16" t="s">
        <v>640</v>
      </c>
      <c r="H17" s="15" t="s">
        <v>738</v>
      </c>
      <c r="I17" s="16" t="s">
        <v>804</v>
      </c>
      <c r="J17" s="17"/>
      <c r="K17" s="40" t="str">
        <f>"280,0"</f>
        <v>280,0</v>
      </c>
      <c r="L17" s="17" t="str">
        <f>"181,7900"</f>
        <v>181,7900</v>
      </c>
      <c r="M17" s="14" t="s">
        <v>158</v>
      </c>
    </row>
    <row r="18" spans="1:13">
      <c r="A18" s="17" t="s">
        <v>73</v>
      </c>
      <c r="B18" s="14" t="s">
        <v>3779</v>
      </c>
      <c r="C18" s="14" t="s">
        <v>3783</v>
      </c>
      <c r="D18" s="14" t="s">
        <v>546</v>
      </c>
      <c r="E18" s="14" t="str">
        <f>"0,6567"</f>
        <v>0,6567</v>
      </c>
      <c r="F18" s="14" t="s">
        <v>3781</v>
      </c>
      <c r="G18" s="15" t="s">
        <v>640</v>
      </c>
      <c r="H18" s="16" t="s">
        <v>745</v>
      </c>
      <c r="I18" s="16" t="s">
        <v>1241</v>
      </c>
      <c r="J18" s="17"/>
      <c r="K18" s="40" t="str">
        <f>"270,0"</f>
        <v>270,0</v>
      </c>
      <c r="L18" s="17" t="str">
        <f>"177,3090"</f>
        <v>177,3090</v>
      </c>
      <c r="M18" s="14" t="s">
        <v>447</v>
      </c>
    </row>
    <row r="19" spans="1:13">
      <c r="A19" s="20" t="s">
        <v>92</v>
      </c>
      <c r="B19" s="18" t="s">
        <v>3784</v>
      </c>
      <c r="C19" s="18" t="s">
        <v>3785</v>
      </c>
      <c r="D19" s="18" t="s">
        <v>539</v>
      </c>
      <c r="E19" s="18" t="str">
        <f>"0,6477"</f>
        <v>0,6477</v>
      </c>
      <c r="F19" s="18" t="s">
        <v>1391</v>
      </c>
      <c r="G19" s="22" t="s">
        <v>822</v>
      </c>
      <c r="H19" s="22" t="s">
        <v>822</v>
      </c>
      <c r="I19" s="22" t="s">
        <v>822</v>
      </c>
      <c r="J19" s="20"/>
      <c r="K19" s="38">
        <v>0</v>
      </c>
      <c r="L19" s="20" t="str">
        <f>"0,0000"</f>
        <v>0,0000</v>
      </c>
      <c r="M19" s="18" t="s">
        <v>799</v>
      </c>
    </row>
    <row r="20" spans="1:13">
      <c r="B20" s="5" t="s">
        <v>40</v>
      </c>
    </row>
    <row r="21" spans="1:13" ht="15.95">
      <c r="A21" s="102" t="s">
        <v>598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1:13">
      <c r="A22" s="13" t="s">
        <v>15</v>
      </c>
      <c r="B22" s="11" t="s">
        <v>3786</v>
      </c>
      <c r="C22" s="11" t="s">
        <v>3787</v>
      </c>
      <c r="D22" s="11" t="s">
        <v>601</v>
      </c>
      <c r="E22" s="11" t="str">
        <f>"0,6303"</f>
        <v>0,6303</v>
      </c>
      <c r="F22" s="11" t="s">
        <v>594</v>
      </c>
      <c r="G22" s="12" t="s">
        <v>1086</v>
      </c>
      <c r="H22" s="12" t="s">
        <v>842</v>
      </c>
      <c r="I22" s="21" t="s">
        <v>1229</v>
      </c>
      <c r="J22" s="13"/>
      <c r="K22" s="37" t="str">
        <f>"340,0"</f>
        <v>340,0</v>
      </c>
      <c r="L22" s="13" t="str">
        <f>"214,3190"</f>
        <v>214,3190</v>
      </c>
      <c r="M22" s="11" t="s">
        <v>3788</v>
      </c>
    </row>
    <row r="23" spans="1:13">
      <c r="A23" s="17" t="s">
        <v>62</v>
      </c>
      <c r="B23" s="14" t="s">
        <v>3789</v>
      </c>
      <c r="C23" s="14" t="s">
        <v>3790</v>
      </c>
      <c r="D23" s="14" t="s">
        <v>3194</v>
      </c>
      <c r="E23" s="14" t="str">
        <f>"0,6197"</f>
        <v>0,6197</v>
      </c>
      <c r="F23" s="14" t="s">
        <v>3728</v>
      </c>
      <c r="G23" s="15" t="s">
        <v>822</v>
      </c>
      <c r="H23" s="16" t="s">
        <v>804</v>
      </c>
      <c r="I23" s="16" t="s">
        <v>804</v>
      </c>
      <c r="J23" s="17"/>
      <c r="K23" s="40" t="str">
        <f>"290,0"</f>
        <v>290,0</v>
      </c>
      <c r="L23" s="17" t="str">
        <f>"179,7130"</f>
        <v>179,7130</v>
      </c>
      <c r="M23" s="14" t="s">
        <v>3791</v>
      </c>
    </row>
    <row r="24" spans="1:13">
      <c r="A24" s="17" t="s">
        <v>73</v>
      </c>
      <c r="B24" s="14" t="s">
        <v>3670</v>
      </c>
      <c r="C24" s="14" t="s">
        <v>3671</v>
      </c>
      <c r="D24" s="14" t="s">
        <v>1499</v>
      </c>
      <c r="E24" s="14" t="str">
        <f>"0,6247"</f>
        <v>0,6247</v>
      </c>
      <c r="F24" s="14" t="s">
        <v>3792</v>
      </c>
      <c r="G24" s="16" t="s">
        <v>523</v>
      </c>
      <c r="H24" s="15" t="s">
        <v>523</v>
      </c>
      <c r="I24" s="16" t="s">
        <v>640</v>
      </c>
      <c r="J24" s="17"/>
      <c r="K24" s="40" t="str">
        <f>"260,0"</f>
        <v>260,0</v>
      </c>
      <c r="L24" s="17" t="str">
        <f>"162,4090"</f>
        <v>162,4090</v>
      </c>
      <c r="M24" s="14" t="s">
        <v>158</v>
      </c>
    </row>
    <row r="25" spans="1:13">
      <c r="A25" s="17" t="s">
        <v>15</v>
      </c>
      <c r="B25" s="14" t="s">
        <v>3786</v>
      </c>
      <c r="C25" s="14" t="s">
        <v>3793</v>
      </c>
      <c r="D25" s="14" t="s">
        <v>601</v>
      </c>
      <c r="E25" s="14" t="str">
        <f>"0,6303"</f>
        <v>0,6303</v>
      </c>
      <c r="F25" s="14" t="s">
        <v>594</v>
      </c>
      <c r="G25" s="15" t="s">
        <v>1086</v>
      </c>
      <c r="H25" s="15" t="s">
        <v>842</v>
      </c>
      <c r="I25" s="16" t="s">
        <v>1229</v>
      </c>
      <c r="J25" s="17"/>
      <c r="K25" s="40" t="str">
        <f>"340,0"</f>
        <v>340,0</v>
      </c>
      <c r="L25" s="17" t="str">
        <f>"218,6054"</f>
        <v>218,6054</v>
      </c>
      <c r="M25" s="14" t="s">
        <v>3788</v>
      </c>
    </row>
    <row r="26" spans="1:13">
      <c r="A26" s="20" t="s">
        <v>92</v>
      </c>
      <c r="B26" s="18" t="s">
        <v>3208</v>
      </c>
      <c r="C26" s="18" t="s">
        <v>3209</v>
      </c>
      <c r="D26" s="18" t="s">
        <v>3210</v>
      </c>
      <c r="E26" s="18" t="str">
        <f>"0,6331"</f>
        <v>0,6331</v>
      </c>
      <c r="F26" s="18" t="s">
        <v>3211</v>
      </c>
      <c r="G26" s="22" t="s">
        <v>351</v>
      </c>
      <c r="H26" s="22" t="s">
        <v>351</v>
      </c>
      <c r="I26" s="22" t="s">
        <v>351</v>
      </c>
      <c r="J26" s="20"/>
      <c r="K26" s="38">
        <v>0</v>
      </c>
      <c r="L26" s="20" t="str">
        <f>"0,0000"</f>
        <v>0,0000</v>
      </c>
      <c r="M26" s="18" t="s">
        <v>158</v>
      </c>
    </row>
    <row r="27" spans="1:13">
      <c r="B27" s="5" t="s">
        <v>40</v>
      </c>
    </row>
    <row r="28" spans="1:13" ht="15.95">
      <c r="A28" s="102" t="s">
        <v>670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1:13">
      <c r="A29" s="13" t="s">
        <v>15</v>
      </c>
      <c r="B29" s="11" t="s">
        <v>3794</v>
      </c>
      <c r="C29" s="11" t="s">
        <v>3795</v>
      </c>
      <c r="D29" s="11" t="s">
        <v>3796</v>
      </c>
      <c r="E29" s="11" t="str">
        <f>"0,5971"</f>
        <v>0,5971</v>
      </c>
      <c r="F29" s="11" t="s">
        <v>633</v>
      </c>
      <c r="G29" s="12" t="s">
        <v>421</v>
      </c>
      <c r="H29" s="12" t="s">
        <v>523</v>
      </c>
      <c r="I29" s="21" t="s">
        <v>640</v>
      </c>
      <c r="J29" s="13"/>
      <c r="K29" s="37" t="str">
        <f>"260,0"</f>
        <v>260,0</v>
      </c>
      <c r="L29" s="13" t="str">
        <f>"155,2460"</f>
        <v>155,2460</v>
      </c>
      <c r="M29" s="11" t="s">
        <v>158</v>
      </c>
    </row>
    <row r="30" spans="1:13">
      <c r="A30" s="17" t="s">
        <v>15</v>
      </c>
      <c r="B30" s="14" t="s">
        <v>3797</v>
      </c>
      <c r="C30" s="14" t="s">
        <v>3798</v>
      </c>
      <c r="D30" s="14" t="s">
        <v>2146</v>
      </c>
      <c r="E30" s="14" t="str">
        <f>"0,5828"</f>
        <v>0,5828</v>
      </c>
      <c r="F30" s="14" t="s">
        <v>2911</v>
      </c>
      <c r="G30" s="15" t="s">
        <v>822</v>
      </c>
      <c r="H30" s="16" t="s">
        <v>1043</v>
      </c>
      <c r="I30" s="15" t="s">
        <v>1078</v>
      </c>
      <c r="J30" s="17"/>
      <c r="K30" s="40" t="str">
        <f>"315,0"</f>
        <v>315,0</v>
      </c>
      <c r="L30" s="17" t="str">
        <f>"183,5820"</f>
        <v>183,5820</v>
      </c>
      <c r="M30" s="14" t="s">
        <v>158</v>
      </c>
    </row>
    <row r="31" spans="1:13">
      <c r="A31" s="17" t="s">
        <v>62</v>
      </c>
      <c r="B31" s="14" t="s">
        <v>3799</v>
      </c>
      <c r="C31" s="14" t="s">
        <v>3800</v>
      </c>
      <c r="D31" s="14" t="s">
        <v>1137</v>
      </c>
      <c r="E31" s="14" t="str">
        <f>"0,5891"</f>
        <v>0,5891</v>
      </c>
      <c r="F31" s="14" t="s">
        <v>1296</v>
      </c>
      <c r="G31" s="15" t="s">
        <v>1005</v>
      </c>
      <c r="H31" s="15" t="s">
        <v>1043</v>
      </c>
      <c r="I31" s="16" t="s">
        <v>1078</v>
      </c>
      <c r="J31" s="17"/>
      <c r="K31" s="40" t="str">
        <f>"310,0"</f>
        <v>310,0</v>
      </c>
      <c r="L31" s="17" t="str">
        <f>"182,6210"</f>
        <v>182,6210</v>
      </c>
      <c r="M31" s="14" t="s">
        <v>2382</v>
      </c>
    </row>
    <row r="32" spans="1:13">
      <c r="A32" s="17" t="s">
        <v>73</v>
      </c>
      <c r="B32" s="14" t="s">
        <v>3259</v>
      </c>
      <c r="C32" s="14" t="s">
        <v>3260</v>
      </c>
      <c r="D32" s="14" t="s">
        <v>701</v>
      </c>
      <c r="E32" s="14" t="str">
        <f>"0,5882"</f>
        <v>0,5882</v>
      </c>
      <c r="F32" s="14" t="s">
        <v>3110</v>
      </c>
      <c r="G32" s="16" t="s">
        <v>459</v>
      </c>
      <c r="H32" s="15" t="s">
        <v>459</v>
      </c>
      <c r="I32" s="15" t="s">
        <v>490</v>
      </c>
      <c r="J32" s="17"/>
      <c r="K32" s="40" t="str">
        <f>"250,0"</f>
        <v>250,0</v>
      </c>
      <c r="L32" s="17" t="str">
        <f>"147,0625"</f>
        <v>147,0625</v>
      </c>
      <c r="M32" s="14" t="s">
        <v>3261</v>
      </c>
    </row>
    <row r="33" spans="1:13">
      <c r="A33" s="17" t="s">
        <v>75</v>
      </c>
      <c r="B33" s="14" t="s">
        <v>3688</v>
      </c>
      <c r="C33" s="14" t="s">
        <v>3689</v>
      </c>
      <c r="D33" s="14" t="s">
        <v>1147</v>
      </c>
      <c r="E33" s="14" t="str">
        <f>"0,5846"</f>
        <v>0,5846</v>
      </c>
      <c r="F33" s="14" t="s">
        <v>278</v>
      </c>
      <c r="G33" s="17"/>
      <c r="H33" s="15" t="s">
        <v>422</v>
      </c>
      <c r="I33" s="17"/>
      <c r="J33" s="17"/>
      <c r="K33" s="40" t="str">
        <f>"240,0"</f>
        <v>240,0</v>
      </c>
      <c r="L33" s="17" t="str">
        <f>"140,2920"</f>
        <v>140,2920</v>
      </c>
      <c r="M33" s="14" t="s">
        <v>158</v>
      </c>
    </row>
    <row r="34" spans="1:13">
      <c r="A34" s="17" t="s">
        <v>15</v>
      </c>
      <c r="B34" s="14" t="s">
        <v>3797</v>
      </c>
      <c r="C34" s="14" t="s">
        <v>3801</v>
      </c>
      <c r="D34" s="14" t="s">
        <v>2146</v>
      </c>
      <c r="E34" s="14" t="str">
        <f>"0,5828"</f>
        <v>0,5828</v>
      </c>
      <c r="F34" s="14" t="s">
        <v>2911</v>
      </c>
      <c r="G34" s="15" t="s">
        <v>822</v>
      </c>
      <c r="H34" s="16" t="s">
        <v>1043</v>
      </c>
      <c r="I34" s="15" t="s">
        <v>1078</v>
      </c>
      <c r="J34" s="17"/>
      <c r="K34" s="40" t="str">
        <f>"315,0"</f>
        <v>315,0</v>
      </c>
      <c r="L34" s="17" t="str">
        <f>"189,2730"</f>
        <v>189,2730</v>
      </c>
      <c r="M34" s="14" t="s">
        <v>158</v>
      </c>
    </row>
    <row r="35" spans="1:13">
      <c r="A35" s="17" t="s">
        <v>62</v>
      </c>
      <c r="B35" s="14" t="s">
        <v>3283</v>
      </c>
      <c r="C35" s="14" t="s">
        <v>3284</v>
      </c>
      <c r="D35" s="14" t="s">
        <v>719</v>
      </c>
      <c r="E35" s="14" t="str">
        <f>"0,5878"</f>
        <v>0,5878</v>
      </c>
      <c r="F35" s="14" t="s">
        <v>594</v>
      </c>
      <c r="G35" s="16" t="s">
        <v>738</v>
      </c>
      <c r="H35" s="15" t="s">
        <v>738</v>
      </c>
      <c r="I35" s="16" t="s">
        <v>822</v>
      </c>
      <c r="J35" s="17"/>
      <c r="K35" s="40" t="str">
        <f>"280,0"</f>
        <v>280,0</v>
      </c>
      <c r="L35" s="17" t="str">
        <f>"173,6214"</f>
        <v>173,6214</v>
      </c>
      <c r="M35" s="14" t="s">
        <v>158</v>
      </c>
    </row>
    <row r="36" spans="1:13">
      <c r="A36" s="17" t="s">
        <v>73</v>
      </c>
      <c r="B36" s="14" t="s">
        <v>3298</v>
      </c>
      <c r="C36" s="14" t="s">
        <v>3299</v>
      </c>
      <c r="D36" s="14" t="s">
        <v>1778</v>
      </c>
      <c r="E36" s="14" t="str">
        <f>"0,5856"</f>
        <v>0,5856</v>
      </c>
      <c r="F36" s="14" t="s">
        <v>3300</v>
      </c>
      <c r="G36" s="15" t="s">
        <v>422</v>
      </c>
      <c r="H36" s="16" t="s">
        <v>523</v>
      </c>
      <c r="I36" s="16" t="s">
        <v>523</v>
      </c>
      <c r="J36" s="17"/>
      <c r="K36" s="40" t="str">
        <f>"240,0"</f>
        <v>240,0</v>
      </c>
      <c r="L36" s="17" t="str">
        <f>"140,5440"</f>
        <v>140,5440</v>
      </c>
      <c r="M36" s="14" t="s">
        <v>3156</v>
      </c>
    </row>
    <row r="37" spans="1:13">
      <c r="A37" s="17" t="s">
        <v>92</v>
      </c>
      <c r="B37" s="14" t="s">
        <v>3301</v>
      </c>
      <c r="C37" s="14" t="s">
        <v>3302</v>
      </c>
      <c r="D37" s="14" t="s">
        <v>681</v>
      </c>
      <c r="E37" s="14" t="str">
        <f>"0,5821"</f>
        <v>0,5821</v>
      </c>
      <c r="F37" s="14" t="s">
        <v>1238</v>
      </c>
      <c r="G37" s="16" t="s">
        <v>1086</v>
      </c>
      <c r="H37" s="16" t="s">
        <v>1086</v>
      </c>
      <c r="I37" s="17"/>
      <c r="J37" s="17"/>
      <c r="K37" s="40">
        <v>0</v>
      </c>
      <c r="L37" s="17" t="str">
        <f>"0,0000"</f>
        <v>0,0000</v>
      </c>
      <c r="M37" s="14" t="s">
        <v>158</v>
      </c>
    </row>
    <row r="38" spans="1:13">
      <c r="A38" s="20" t="s">
        <v>15</v>
      </c>
      <c r="B38" s="18" t="s">
        <v>3802</v>
      </c>
      <c r="C38" s="18" t="s">
        <v>3803</v>
      </c>
      <c r="D38" s="18" t="s">
        <v>1127</v>
      </c>
      <c r="E38" s="18" t="str">
        <f>"0,6082"</f>
        <v>0,6082</v>
      </c>
      <c r="F38" s="18" t="s">
        <v>633</v>
      </c>
      <c r="G38" s="22" t="s">
        <v>422</v>
      </c>
      <c r="H38" s="19" t="s">
        <v>490</v>
      </c>
      <c r="I38" s="22" t="s">
        <v>523</v>
      </c>
      <c r="J38" s="20"/>
      <c r="K38" s="38" t="str">
        <f>"250,0"</f>
        <v>250,0</v>
      </c>
      <c r="L38" s="20" t="str">
        <f>"177,1383"</f>
        <v>177,1383</v>
      </c>
      <c r="M38" s="18" t="s">
        <v>3804</v>
      </c>
    </row>
    <row r="39" spans="1:13">
      <c r="B39" s="5" t="s">
        <v>40</v>
      </c>
    </row>
    <row r="40" spans="1:13" ht="15.95">
      <c r="A40" s="102" t="s">
        <v>724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</row>
    <row r="41" spans="1:13">
      <c r="A41" s="13" t="s">
        <v>15</v>
      </c>
      <c r="B41" s="11" t="s">
        <v>3805</v>
      </c>
      <c r="C41" s="11" t="s">
        <v>3806</v>
      </c>
      <c r="D41" s="11" t="s">
        <v>3807</v>
      </c>
      <c r="E41" s="11" t="str">
        <f>"0,5750"</f>
        <v>0,5750</v>
      </c>
      <c r="F41" s="11" t="s">
        <v>3808</v>
      </c>
      <c r="G41" s="12" t="s">
        <v>3755</v>
      </c>
      <c r="H41" s="21" t="s">
        <v>1335</v>
      </c>
      <c r="I41" s="12" t="s">
        <v>3809</v>
      </c>
      <c r="J41" s="21"/>
      <c r="K41" s="37" t="str">
        <f>"430,0"</f>
        <v>430,0</v>
      </c>
      <c r="L41" s="13" t="str">
        <f>"247,2500"</f>
        <v>247,2500</v>
      </c>
      <c r="M41" s="11" t="s">
        <v>158</v>
      </c>
    </row>
    <row r="42" spans="1:13">
      <c r="A42" s="17" t="s">
        <v>62</v>
      </c>
      <c r="B42" s="14" t="s">
        <v>3810</v>
      </c>
      <c r="C42" s="14" t="s">
        <v>3811</v>
      </c>
      <c r="D42" s="14" t="s">
        <v>3812</v>
      </c>
      <c r="E42" s="14" t="str">
        <f>"0,5695"</f>
        <v>0,5695</v>
      </c>
      <c r="F42" s="14" t="s">
        <v>3728</v>
      </c>
      <c r="G42" s="15" t="s">
        <v>1086</v>
      </c>
      <c r="H42" s="16" t="s">
        <v>842</v>
      </c>
      <c r="I42" s="16" t="s">
        <v>842</v>
      </c>
      <c r="J42" s="17"/>
      <c r="K42" s="40" t="str">
        <f>"320,0"</f>
        <v>320,0</v>
      </c>
      <c r="L42" s="17" t="str">
        <f>"182,2560"</f>
        <v>182,2560</v>
      </c>
      <c r="M42" s="14" t="s">
        <v>158</v>
      </c>
    </row>
    <row r="43" spans="1:13">
      <c r="A43" s="17" t="s">
        <v>73</v>
      </c>
      <c r="B43" s="14" t="s">
        <v>774</v>
      </c>
      <c r="C43" s="14" t="s">
        <v>3627</v>
      </c>
      <c r="D43" s="14" t="s">
        <v>776</v>
      </c>
      <c r="E43" s="14" t="str">
        <f>"0,5647"</f>
        <v>0,5647</v>
      </c>
      <c r="F43" s="14" t="s">
        <v>602</v>
      </c>
      <c r="G43" s="16" t="s">
        <v>421</v>
      </c>
      <c r="H43" s="16" t="s">
        <v>490</v>
      </c>
      <c r="I43" s="15" t="s">
        <v>431</v>
      </c>
      <c r="J43" s="17"/>
      <c r="K43" s="40" t="str">
        <f>"252,5"</f>
        <v>252,5</v>
      </c>
      <c r="L43" s="17" t="str">
        <f>"142,5868"</f>
        <v>142,5868</v>
      </c>
      <c r="M43" s="14" t="s">
        <v>158</v>
      </c>
    </row>
    <row r="44" spans="1:13">
      <c r="A44" s="17" t="s">
        <v>15</v>
      </c>
      <c r="B44" s="14" t="s">
        <v>3813</v>
      </c>
      <c r="C44" s="14" t="s">
        <v>3814</v>
      </c>
      <c r="D44" s="14" t="s">
        <v>3358</v>
      </c>
      <c r="E44" s="14" t="str">
        <f>"0,5627"</f>
        <v>0,5627</v>
      </c>
      <c r="F44" s="14" t="s">
        <v>378</v>
      </c>
      <c r="G44" s="15" t="s">
        <v>1229</v>
      </c>
      <c r="H44" s="15" t="s">
        <v>1339</v>
      </c>
      <c r="I44" s="15" t="s">
        <v>1345</v>
      </c>
      <c r="J44" s="17"/>
      <c r="K44" s="40" t="str">
        <f>"390,0"</f>
        <v>390,0</v>
      </c>
      <c r="L44" s="17" t="str">
        <f>"231,5024"</f>
        <v>231,5024</v>
      </c>
      <c r="M44" s="14" t="s">
        <v>3815</v>
      </c>
    </row>
    <row r="45" spans="1:13">
      <c r="A45" s="17" t="s">
        <v>62</v>
      </c>
      <c r="B45" s="14" t="s">
        <v>3816</v>
      </c>
      <c r="C45" s="14" t="s">
        <v>3817</v>
      </c>
      <c r="D45" s="14" t="s">
        <v>1237</v>
      </c>
      <c r="E45" s="14" t="str">
        <f>"0,5645"</f>
        <v>0,5645</v>
      </c>
      <c r="F45" s="14" t="s">
        <v>2714</v>
      </c>
      <c r="G45" s="15" t="s">
        <v>1151</v>
      </c>
      <c r="H45" s="15" t="s">
        <v>2050</v>
      </c>
      <c r="I45" s="16" t="s">
        <v>1339</v>
      </c>
      <c r="J45" s="17"/>
      <c r="K45" s="40" t="str">
        <f>"357,5"</f>
        <v>357,5</v>
      </c>
      <c r="L45" s="17" t="str">
        <f>"210,5052"</f>
        <v>210,5052</v>
      </c>
      <c r="M45" s="14" t="s">
        <v>158</v>
      </c>
    </row>
    <row r="46" spans="1:13">
      <c r="A46" s="17" t="s">
        <v>73</v>
      </c>
      <c r="B46" s="14" t="s">
        <v>3399</v>
      </c>
      <c r="C46" s="14" t="s">
        <v>3400</v>
      </c>
      <c r="D46" s="14" t="s">
        <v>2884</v>
      </c>
      <c r="E46" s="14" t="str">
        <f>"0,5759"</f>
        <v>0,5759</v>
      </c>
      <c r="F46" s="14" t="s">
        <v>1238</v>
      </c>
      <c r="G46" s="16" t="s">
        <v>523</v>
      </c>
      <c r="H46" s="15" t="s">
        <v>523</v>
      </c>
      <c r="I46" s="15" t="s">
        <v>822</v>
      </c>
      <c r="J46" s="17"/>
      <c r="K46" s="40" t="str">
        <f>"290,0"</f>
        <v>290,0</v>
      </c>
      <c r="L46" s="17" t="str">
        <f>"176,1813"</f>
        <v>176,1813</v>
      </c>
      <c r="M46" s="14" t="s">
        <v>158</v>
      </c>
    </row>
    <row r="47" spans="1:13">
      <c r="A47" s="17" t="s">
        <v>75</v>
      </c>
      <c r="B47" s="14" t="s">
        <v>3818</v>
      </c>
      <c r="C47" s="14" t="s">
        <v>3819</v>
      </c>
      <c r="D47" s="14" t="s">
        <v>2843</v>
      </c>
      <c r="E47" s="14" t="str">
        <f>"0,5716"</f>
        <v>0,5716</v>
      </c>
      <c r="F47" s="14" t="s">
        <v>1378</v>
      </c>
      <c r="G47" s="15" t="s">
        <v>523</v>
      </c>
      <c r="H47" s="16" t="s">
        <v>754</v>
      </c>
      <c r="I47" s="16" t="s">
        <v>754</v>
      </c>
      <c r="J47" s="17"/>
      <c r="K47" s="40" t="str">
        <f>"260,0"</f>
        <v>260,0</v>
      </c>
      <c r="L47" s="17" t="str">
        <f>"156,7899"</f>
        <v>156,7899</v>
      </c>
      <c r="M47" s="14" t="s">
        <v>158</v>
      </c>
    </row>
    <row r="48" spans="1:13">
      <c r="A48" s="17" t="s">
        <v>87</v>
      </c>
      <c r="B48" s="14" t="s">
        <v>774</v>
      </c>
      <c r="C48" s="14" t="s">
        <v>775</v>
      </c>
      <c r="D48" s="14" t="s">
        <v>776</v>
      </c>
      <c r="E48" s="14" t="str">
        <f>"0,5647"</f>
        <v>0,5647</v>
      </c>
      <c r="F48" s="14" t="s">
        <v>602</v>
      </c>
      <c r="G48" s="16" t="s">
        <v>421</v>
      </c>
      <c r="H48" s="16" t="s">
        <v>490</v>
      </c>
      <c r="I48" s="15" t="s">
        <v>431</v>
      </c>
      <c r="J48" s="17"/>
      <c r="K48" s="40" t="str">
        <f>"252,5"</f>
        <v>252,5</v>
      </c>
      <c r="L48" s="17" t="str">
        <f>"148,7180"</f>
        <v>148,7180</v>
      </c>
      <c r="M48" s="14" t="s">
        <v>158</v>
      </c>
    </row>
    <row r="49" spans="1:13">
      <c r="A49" s="20" t="s">
        <v>15</v>
      </c>
      <c r="B49" s="18" t="s">
        <v>3820</v>
      </c>
      <c r="C49" s="18" t="s">
        <v>3821</v>
      </c>
      <c r="D49" s="18" t="s">
        <v>3383</v>
      </c>
      <c r="E49" s="18" t="str">
        <f>"0,5663"</f>
        <v>0,5663</v>
      </c>
      <c r="F49" s="18" t="s">
        <v>2090</v>
      </c>
      <c r="G49" s="19" t="s">
        <v>804</v>
      </c>
      <c r="H49" s="19" t="s">
        <v>1043</v>
      </c>
      <c r="I49" s="22" t="s">
        <v>1086</v>
      </c>
      <c r="J49" s="20"/>
      <c r="K49" s="38" t="str">
        <f>"310,0"</f>
        <v>310,0</v>
      </c>
      <c r="L49" s="20" t="str">
        <f>"215,0524"</f>
        <v>215,0524</v>
      </c>
      <c r="M49" s="18" t="s">
        <v>2830</v>
      </c>
    </row>
    <row r="50" spans="1:13">
      <c r="B50" s="5" t="s">
        <v>40</v>
      </c>
    </row>
    <row r="51" spans="1:13" ht="15.95">
      <c r="A51" s="102" t="s">
        <v>783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1:13">
      <c r="A52" s="72" t="s">
        <v>15</v>
      </c>
      <c r="B52" s="85" t="s">
        <v>3822</v>
      </c>
      <c r="C52" s="73" t="s">
        <v>3823</v>
      </c>
      <c r="D52" s="85" t="s">
        <v>3824</v>
      </c>
      <c r="E52" s="73" t="str">
        <f>"0,5504"</f>
        <v>0,5504</v>
      </c>
      <c r="F52" s="85" t="s">
        <v>3825</v>
      </c>
      <c r="G52" s="74" t="s">
        <v>1345</v>
      </c>
      <c r="H52" s="88" t="s">
        <v>3755</v>
      </c>
      <c r="I52" s="74" t="s">
        <v>2012</v>
      </c>
      <c r="J52" s="92"/>
      <c r="K52" s="75" t="str">
        <f>"410,0"</f>
        <v>410,0</v>
      </c>
      <c r="L52" s="92" t="str">
        <f>"225,6435"</f>
        <v>225,6435</v>
      </c>
      <c r="M52" s="76" t="s">
        <v>3826</v>
      </c>
    </row>
    <row r="53" spans="1:13">
      <c r="A53" s="77" t="s">
        <v>62</v>
      </c>
      <c r="B53" s="86" t="s">
        <v>3633</v>
      </c>
      <c r="C53" s="5" t="s">
        <v>3634</v>
      </c>
      <c r="D53" s="86" t="s">
        <v>3429</v>
      </c>
      <c r="E53" s="5" t="str">
        <f>"0,5507"</f>
        <v>0,5507</v>
      </c>
      <c r="F53" s="86" t="s">
        <v>3635</v>
      </c>
      <c r="G53" s="52" t="s">
        <v>1339</v>
      </c>
      <c r="H53" s="89" t="s">
        <v>2210</v>
      </c>
      <c r="I53" s="53" t="s">
        <v>3755</v>
      </c>
      <c r="J53" s="93"/>
      <c r="K53" s="39" t="str">
        <f>"385,0"</f>
        <v>385,0</v>
      </c>
      <c r="L53" s="93" t="str">
        <f>"212,0003"</f>
        <v>212,0003</v>
      </c>
      <c r="M53" s="78" t="s">
        <v>3636</v>
      </c>
    </row>
    <row r="54" spans="1:13">
      <c r="A54" s="77" t="s">
        <v>73</v>
      </c>
      <c r="B54" s="86" t="s">
        <v>3827</v>
      </c>
      <c r="C54" s="5" t="s">
        <v>3828</v>
      </c>
      <c r="D54" s="86" t="s">
        <v>2959</v>
      </c>
      <c r="E54" s="5" t="str">
        <f>"0,5483"</f>
        <v>0,5483</v>
      </c>
      <c r="F54" s="86" t="s">
        <v>2221</v>
      </c>
      <c r="G54" s="52" t="s">
        <v>3747</v>
      </c>
      <c r="H54" s="89" t="s">
        <v>3829</v>
      </c>
      <c r="I54" s="53" t="s">
        <v>1564</v>
      </c>
      <c r="J54" s="93"/>
      <c r="K54" s="39" t="str">
        <f>"382,5"</f>
        <v>382,5</v>
      </c>
      <c r="L54" s="93" t="str">
        <f>"209,7248"</f>
        <v>209,7248</v>
      </c>
      <c r="M54" s="78" t="s">
        <v>3830</v>
      </c>
    </row>
    <row r="55" spans="1:13">
      <c r="A55" s="77" t="s">
        <v>75</v>
      </c>
      <c r="B55" s="86" t="s">
        <v>3559</v>
      </c>
      <c r="C55" s="5" t="s">
        <v>3560</v>
      </c>
      <c r="D55" s="86" t="s">
        <v>3456</v>
      </c>
      <c r="E55" s="5" t="str">
        <f>"0,5717"</f>
        <v>0,5717</v>
      </c>
      <c r="F55" s="86" t="s">
        <v>980</v>
      </c>
      <c r="G55" s="52" t="s">
        <v>804</v>
      </c>
      <c r="H55" s="90" t="s">
        <v>1086</v>
      </c>
      <c r="I55" s="52" t="s">
        <v>1086</v>
      </c>
      <c r="J55" s="93"/>
      <c r="K55" s="39" t="str">
        <f>"320,0"</f>
        <v>320,0</v>
      </c>
      <c r="L55" s="93" t="str">
        <f>"182,9440"</f>
        <v>182,9440</v>
      </c>
      <c r="M55" s="78" t="s">
        <v>981</v>
      </c>
    </row>
    <row r="56" spans="1:13">
      <c r="A56" s="77" t="s">
        <v>87</v>
      </c>
      <c r="B56" s="86" t="s">
        <v>3831</v>
      </c>
      <c r="C56" s="5" t="s">
        <v>3832</v>
      </c>
      <c r="D56" s="86" t="s">
        <v>1290</v>
      </c>
      <c r="E56" s="5" t="str">
        <f>"0,5505"</f>
        <v>0,5505</v>
      </c>
      <c r="F56" s="86" t="s">
        <v>364</v>
      </c>
      <c r="G56" s="52" t="s">
        <v>804</v>
      </c>
      <c r="H56" s="89" t="s">
        <v>1078</v>
      </c>
      <c r="I56" s="53" t="s">
        <v>1151</v>
      </c>
      <c r="J56" s="93"/>
      <c r="K56" s="39" t="str">
        <f>"315,0"</f>
        <v>315,0</v>
      </c>
      <c r="L56" s="93" t="str">
        <f>"173,4232"</f>
        <v>173,4232</v>
      </c>
      <c r="M56" s="78" t="s">
        <v>158</v>
      </c>
    </row>
    <row r="57" spans="1:13">
      <c r="A57" s="77" t="s">
        <v>92</v>
      </c>
      <c r="B57" s="86" t="s">
        <v>3633</v>
      </c>
      <c r="C57" s="5" t="s">
        <v>3634</v>
      </c>
      <c r="D57" s="86" t="s">
        <v>3833</v>
      </c>
      <c r="E57" s="5" t="str">
        <f>"0,5525"</f>
        <v>0,5525</v>
      </c>
      <c r="F57" s="86" t="s">
        <v>3635</v>
      </c>
      <c r="G57" s="53" t="s">
        <v>1345</v>
      </c>
      <c r="H57" s="90" t="s">
        <v>1345</v>
      </c>
      <c r="I57" s="53" t="s">
        <v>3755</v>
      </c>
      <c r="J57" s="93"/>
      <c r="K57" s="39">
        <v>0</v>
      </c>
      <c r="L57" s="93" t="str">
        <f>"0,0000"</f>
        <v>0,0000</v>
      </c>
      <c r="M57" s="78" t="s">
        <v>3636</v>
      </c>
    </row>
    <row r="58" spans="1:13">
      <c r="A58" s="77" t="s">
        <v>15</v>
      </c>
      <c r="B58" s="86" t="s">
        <v>3822</v>
      </c>
      <c r="C58" s="5" t="s">
        <v>3834</v>
      </c>
      <c r="D58" s="86" t="s">
        <v>3824</v>
      </c>
      <c r="E58" s="5" t="str">
        <f>"0,5504"</f>
        <v>0,5504</v>
      </c>
      <c r="F58" s="86" t="s">
        <v>3825</v>
      </c>
      <c r="G58" s="52" t="s">
        <v>1345</v>
      </c>
      <c r="H58" s="89" t="s">
        <v>3755</v>
      </c>
      <c r="I58" s="52" t="s">
        <v>2012</v>
      </c>
      <c r="J58" s="93"/>
      <c r="K58" s="39" t="str">
        <f>"410,0"</f>
        <v>410,0</v>
      </c>
      <c r="L58" s="93" t="str">
        <f>"225,6435"</f>
        <v>225,6435</v>
      </c>
      <c r="M58" s="78" t="s">
        <v>3826</v>
      </c>
    </row>
    <row r="59" spans="1:13">
      <c r="A59" s="77" t="s">
        <v>62</v>
      </c>
      <c r="B59" s="86" t="s">
        <v>3633</v>
      </c>
      <c r="C59" s="5" t="s">
        <v>3835</v>
      </c>
      <c r="D59" s="86" t="s">
        <v>3429</v>
      </c>
      <c r="E59" s="5" t="str">
        <f>"0,5507"</f>
        <v>0,5507</v>
      </c>
      <c r="F59" s="86" t="s">
        <v>3635</v>
      </c>
      <c r="G59" s="52" t="s">
        <v>1339</v>
      </c>
      <c r="H59" s="89" t="s">
        <v>2210</v>
      </c>
      <c r="I59" s="53" t="s">
        <v>3755</v>
      </c>
      <c r="J59" s="93"/>
      <c r="K59" s="39" t="str">
        <f>"385,0"</f>
        <v>385,0</v>
      </c>
      <c r="L59" s="93" t="str">
        <f>"232,5643"</f>
        <v>232,5643</v>
      </c>
      <c r="M59" s="78" t="s">
        <v>3636</v>
      </c>
    </row>
    <row r="60" spans="1:13">
      <c r="A60" s="77" t="s">
        <v>73</v>
      </c>
      <c r="B60" s="86" t="s">
        <v>3827</v>
      </c>
      <c r="C60" s="5" t="s">
        <v>3836</v>
      </c>
      <c r="D60" s="86" t="s">
        <v>2959</v>
      </c>
      <c r="E60" s="5" t="str">
        <f>"0,5483"</f>
        <v>0,5483</v>
      </c>
      <c r="F60" s="86" t="s">
        <v>2221</v>
      </c>
      <c r="G60" s="52" t="s">
        <v>3747</v>
      </c>
      <c r="H60" s="89" t="s">
        <v>3829</v>
      </c>
      <c r="I60" s="53" t="s">
        <v>1564</v>
      </c>
      <c r="J60" s="93"/>
      <c r="K60" s="39" t="str">
        <f>"382,5"</f>
        <v>382,5</v>
      </c>
      <c r="L60" s="93" t="str">
        <f>"230,0681"</f>
        <v>230,0681</v>
      </c>
      <c r="M60" s="78" t="s">
        <v>3830</v>
      </c>
    </row>
    <row r="61" spans="1:13">
      <c r="A61" s="77" t="s">
        <v>75</v>
      </c>
      <c r="B61" s="86" t="s">
        <v>3837</v>
      </c>
      <c r="C61" s="5" t="s">
        <v>3838</v>
      </c>
      <c r="D61" s="86" t="s">
        <v>3839</v>
      </c>
      <c r="E61" s="5" t="str">
        <f>"0,5515"</f>
        <v>0,5515</v>
      </c>
      <c r="F61" s="86" t="s">
        <v>1897</v>
      </c>
      <c r="G61" s="53" t="s">
        <v>842</v>
      </c>
      <c r="H61" s="89" t="s">
        <v>1229</v>
      </c>
      <c r="I61" s="53" t="s">
        <v>1142</v>
      </c>
      <c r="J61" s="93"/>
      <c r="K61" s="39" t="str">
        <f>"350,0"</f>
        <v>350,0</v>
      </c>
      <c r="L61" s="93" t="str">
        <f>"203,6598"</f>
        <v>203,6598</v>
      </c>
      <c r="M61" s="78" t="s">
        <v>158</v>
      </c>
    </row>
    <row r="62" spans="1:13">
      <c r="A62" s="79" t="s">
        <v>87</v>
      </c>
      <c r="B62" s="87" t="s">
        <v>3831</v>
      </c>
      <c r="C62" s="80" t="s">
        <v>3840</v>
      </c>
      <c r="D62" s="87" t="s">
        <v>1290</v>
      </c>
      <c r="E62" s="80" t="str">
        <f>"0,5505"</f>
        <v>0,5505</v>
      </c>
      <c r="F62" s="87" t="s">
        <v>364</v>
      </c>
      <c r="G62" s="81" t="s">
        <v>804</v>
      </c>
      <c r="H62" s="91" t="s">
        <v>1078</v>
      </c>
      <c r="I62" s="82" t="s">
        <v>1151</v>
      </c>
      <c r="J62" s="94"/>
      <c r="K62" s="83" t="str">
        <f>"315,0"</f>
        <v>315,0</v>
      </c>
      <c r="L62" s="94" t="str">
        <f>"180,8804"</f>
        <v>180,8804</v>
      </c>
      <c r="M62" s="84" t="s">
        <v>158</v>
      </c>
    </row>
    <row r="63" spans="1:13">
      <c r="B63" s="5" t="s">
        <v>40</v>
      </c>
    </row>
    <row r="64" spans="1:13" ht="15.95">
      <c r="A64" s="102" t="s">
        <v>794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</row>
    <row r="65" spans="1:13">
      <c r="A65" s="13" t="s">
        <v>15</v>
      </c>
      <c r="B65" s="11" t="s">
        <v>3841</v>
      </c>
      <c r="C65" s="11" t="s">
        <v>3842</v>
      </c>
      <c r="D65" s="11" t="s">
        <v>3843</v>
      </c>
      <c r="E65" s="11" t="str">
        <f>"0,5451"</f>
        <v>0,5451</v>
      </c>
      <c r="F65" s="45" t="s">
        <v>2049</v>
      </c>
      <c r="G65" s="54" t="s">
        <v>822</v>
      </c>
      <c r="H65" s="12" t="s">
        <v>804</v>
      </c>
      <c r="I65" s="48" t="s">
        <v>823</v>
      </c>
      <c r="J65" s="63"/>
      <c r="K65" s="37" t="str">
        <f>"300,0"</f>
        <v>300,0</v>
      </c>
      <c r="L65" s="13" t="str">
        <f>"163,5420"</f>
        <v>163,5420</v>
      </c>
      <c r="M65" s="11" t="s">
        <v>158</v>
      </c>
    </row>
    <row r="66" spans="1:13">
      <c r="A66" s="17" t="s">
        <v>15</v>
      </c>
      <c r="B66" s="14" t="s">
        <v>3759</v>
      </c>
      <c r="C66" s="14" t="s">
        <v>3760</v>
      </c>
      <c r="D66" s="14" t="s">
        <v>3761</v>
      </c>
      <c r="E66" s="14" t="str">
        <f>"0,5434"</f>
        <v>0,5434</v>
      </c>
      <c r="F66" s="46" t="s">
        <v>1155</v>
      </c>
      <c r="G66" s="56" t="s">
        <v>842</v>
      </c>
      <c r="H66" s="16" t="s">
        <v>1142</v>
      </c>
      <c r="I66" s="50" t="s">
        <v>1142</v>
      </c>
      <c r="J66" s="49"/>
      <c r="K66" s="40" t="str">
        <f>"340,0"</f>
        <v>340,0</v>
      </c>
      <c r="L66" s="17" t="str">
        <f>"184,7662"</f>
        <v>184,7662</v>
      </c>
      <c r="M66" s="14" t="s">
        <v>158</v>
      </c>
    </row>
    <row r="67" spans="1:13">
      <c r="A67" s="17" t="s">
        <v>62</v>
      </c>
      <c r="B67" s="14" t="s">
        <v>3498</v>
      </c>
      <c r="C67" s="14" t="s">
        <v>3499</v>
      </c>
      <c r="D67" s="14" t="s">
        <v>3500</v>
      </c>
      <c r="E67" s="14" t="str">
        <f>"0,5371"</f>
        <v>0,5371</v>
      </c>
      <c r="F67" s="46" t="s">
        <v>1238</v>
      </c>
      <c r="G67" s="56" t="s">
        <v>804</v>
      </c>
      <c r="H67" s="16" t="s">
        <v>842</v>
      </c>
      <c r="I67" s="50" t="s">
        <v>1329</v>
      </c>
      <c r="J67" s="49"/>
      <c r="K67" s="40" t="str">
        <f>"300,0"</f>
        <v>300,0</v>
      </c>
      <c r="L67" s="17" t="str">
        <f>"161,1270"</f>
        <v>161,1270</v>
      </c>
      <c r="M67" s="14" t="s">
        <v>3501</v>
      </c>
    </row>
    <row r="68" spans="1:13">
      <c r="A68" s="17" t="s">
        <v>15</v>
      </c>
      <c r="B68" s="14" t="s">
        <v>3498</v>
      </c>
      <c r="C68" s="14" t="s">
        <v>3506</v>
      </c>
      <c r="D68" s="14" t="s">
        <v>3500</v>
      </c>
      <c r="E68" s="14" t="str">
        <f>"0,5371"</f>
        <v>0,5371</v>
      </c>
      <c r="F68" s="46" t="s">
        <v>1238</v>
      </c>
      <c r="G68" s="56" t="s">
        <v>804</v>
      </c>
      <c r="H68" s="16" t="s">
        <v>842</v>
      </c>
      <c r="I68" s="50" t="s">
        <v>1329</v>
      </c>
      <c r="J68" s="49"/>
      <c r="K68" s="40" t="str">
        <f>"300,0"</f>
        <v>300,0</v>
      </c>
      <c r="L68" s="17" t="str">
        <f>"166,1219"</f>
        <v>166,1219</v>
      </c>
      <c r="M68" s="14" t="s">
        <v>3501</v>
      </c>
    </row>
    <row r="69" spans="1:13">
      <c r="A69" s="20" t="s">
        <v>15</v>
      </c>
      <c r="B69" s="18" t="s">
        <v>3759</v>
      </c>
      <c r="C69" s="18" t="s">
        <v>3762</v>
      </c>
      <c r="D69" s="18" t="s">
        <v>3761</v>
      </c>
      <c r="E69" s="18" t="str">
        <f>"0,5434"</f>
        <v>0,5434</v>
      </c>
      <c r="F69" s="47" t="s">
        <v>1155</v>
      </c>
      <c r="G69" s="66" t="s">
        <v>842</v>
      </c>
      <c r="H69" s="22" t="s">
        <v>1142</v>
      </c>
      <c r="I69" s="51" t="s">
        <v>1142</v>
      </c>
      <c r="J69" s="61"/>
      <c r="K69" s="38" t="str">
        <f>"340,0"</f>
        <v>340,0</v>
      </c>
      <c r="L69" s="20" t="str">
        <f>"218,7632"</f>
        <v>218,7632</v>
      </c>
      <c r="M69" s="18" t="s">
        <v>158</v>
      </c>
    </row>
    <row r="70" spans="1:13">
      <c r="B70" s="5" t="s">
        <v>40</v>
      </c>
    </row>
    <row r="71" spans="1:13" ht="15.95">
      <c r="A71" s="102" t="s">
        <v>818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1:13">
      <c r="A72" s="10" t="s">
        <v>15</v>
      </c>
      <c r="B72" s="7" t="s">
        <v>3844</v>
      </c>
      <c r="C72" s="7" t="s">
        <v>3845</v>
      </c>
      <c r="D72" s="7" t="s">
        <v>3846</v>
      </c>
      <c r="E72" s="7" t="str">
        <f>"0,5262"</f>
        <v>0,5262</v>
      </c>
      <c r="F72" s="7" t="s">
        <v>3847</v>
      </c>
      <c r="G72" s="9" t="s">
        <v>3809</v>
      </c>
      <c r="H72" s="8" t="s">
        <v>3809</v>
      </c>
      <c r="I72" s="9" t="s">
        <v>3848</v>
      </c>
      <c r="J72" s="10"/>
      <c r="K72" s="41" t="str">
        <f>"430,0"</f>
        <v>430,0</v>
      </c>
      <c r="L72" s="10" t="str">
        <f>"226,2767"</f>
        <v>226,2767</v>
      </c>
      <c r="M72" s="7" t="s">
        <v>158</v>
      </c>
    </row>
    <row r="73" spans="1:13">
      <c r="B73" s="5" t="s">
        <v>40</v>
      </c>
    </row>
    <row r="76" spans="1:13" ht="18">
      <c r="B76" s="23" t="s">
        <v>830</v>
      </c>
      <c r="C76" s="23"/>
    </row>
    <row r="77" spans="1:13" ht="15.95">
      <c r="B77" s="95" t="s">
        <v>855</v>
      </c>
      <c r="C77" s="95"/>
    </row>
    <row r="78" spans="1:13" ht="14.1">
      <c r="B78" s="24"/>
      <c r="C78" s="24" t="s">
        <v>832</v>
      </c>
    </row>
    <row r="79" spans="1:13" ht="14.1">
      <c r="B79" s="4" t="s">
        <v>833</v>
      </c>
      <c r="C79" s="4" t="s">
        <v>834</v>
      </c>
      <c r="D79" s="4" t="s">
        <v>835</v>
      </c>
      <c r="E79" s="4" t="s">
        <v>2294</v>
      </c>
      <c r="F79" s="4" t="s">
        <v>3650</v>
      </c>
    </row>
    <row r="80" spans="1:13">
      <c r="B80" s="5" t="s">
        <v>3805</v>
      </c>
      <c r="C80" s="5" t="s">
        <v>832</v>
      </c>
      <c r="D80" s="6" t="s">
        <v>1349</v>
      </c>
      <c r="E80" s="6" t="s">
        <v>3809</v>
      </c>
      <c r="F80" s="6" t="s">
        <v>3849</v>
      </c>
    </row>
    <row r="81" spans="2:6">
      <c r="B81" s="5" t="s">
        <v>3844</v>
      </c>
      <c r="C81" s="5" t="s">
        <v>832</v>
      </c>
      <c r="D81" s="6" t="s">
        <v>878</v>
      </c>
      <c r="E81" s="6" t="s">
        <v>3809</v>
      </c>
      <c r="F81" s="6" t="s">
        <v>3850</v>
      </c>
    </row>
    <row r="82" spans="2:6">
      <c r="B82" s="5" t="s">
        <v>3822</v>
      </c>
      <c r="C82" s="5" t="s">
        <v>832</v>
      </c>
      <c r="D82" s="6" t="s">
        <v>1356</v>
      </c>
      <c r="E82" s="6" t="s">
        <v>2012</v>
      </c>
      <c r="F82" s="6" t="s">
        <v>3851</v>
      </c>
    </row>
    <row r="84" spans="2:6" ht="14.1">
      <c r="B84" s="24"/>
      <c r="C84" s="24" t="s">
        <v>847</v>
      </c>
    </row>
    <row r="85" spans="2:6" ht="14.1">
      <c r="B85" s="4" t="s">
        <v>833</v>
      </c>
      <c r="C85" s="4" t="s">
        <v>834</v>
      </c>
      <c r="D85" s="4" t="s">
        <v>835</v>
      </c>
      <c r="E85" s="4" t="s">
        <v>2294</v>
      </c>
      <c r="F85" s="4" t="s">
        <v>3650</v>
      </c>
    </row>
    <row r="86" spans="2:6">
      <c r="B86" s="5" t="s">
        <v>3633</v>
      </c>
      <c r="C86" s="5" t="s">
        <v>848</v>
      </c>
      <c r="D86" s="6" t="s">
        <v>1356</v>
      </c>
      <c r="E86" s="6" t="s">
        <v>2210</v>
      </c>
      <c r="F86" s="6" t="s">
        <v>3852</v>
      </c>
    </row>
    <row r="87" spans="2:6">
      <c r="B87" s="5" t="s">
        <v>3813</v>
      </c>
      <c r="C87" s="5" t="s">
        <v>848</v>
      </c>
      <c r="D87" s="6" t="s">
        <v>1349</v>
      </c>
      <c r="E87" s="6" t="s">
        <v>1345</v>
      </c>
      <c r="F87" s="6" t="s">
        <v>3853</v>
      </c>
    </row>
    <row r="88" spans="2:6">
      <c r="B88" s="5" t="s">
        <v>3827</v>
      </c>
      <c r="C88" s="5" t="s">
        <v>848</v>
      </c>
      <c r="D88" s="6" t="s">
        <v>1356</v>
      </c>
      <c r="E88" s="6" t="s">
        <v>3829</v>
      </c>
      <c r="F88" s="6" t="s">
        <v>3854</v>
      </c>
    </row>
    <row r="89" spans="2:6">
      <c r="B89" s="5" t="s">
        <v>40</v>
      </c>
    </row>
  </sheetData>
  <mergeCells count="20">
    <mergeCell ref="A71:L71"/>
    <mergeCell ref="K3:K4"/>
    <mergeCell ref="L3:L4"/>
    <mergeCell ref="M3:M4"/>
    <mergeCell ref="A5:L5"/>
    <mergeCell ref="A11:L11"/>
    <mergeCell ref="A14:L14"/>
    <mergeCell ref="B3:B4"/>
    <mergeCell ref="A21:L21"/>
    <mergeCell ref="A28:L28"/>
    <mergeCell ref="A40:L40"/>
    <mergeCell ref="A51:L51"/>
    <mergeCell ref="A64:L64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93"/>
  <sheetViews>
    <sheetView workbookViewId="0">
      <selection sqref="A1:K2"/>
    </sheetView>
  </sheetViews>
  <sheetFormatPr defaultColWidth="9.140625" defaultRowHeight="12.95"/>
  <cols>
    <col min="1" max="1" width="7.42578125" style="6" bestFit="1" customWidth="1"/>
    <col min="2" max="2" width="23.28515625" style="5" bestFit="1" customWidth="1"/>
    <col min="3" max="3" width="28.42578125" style="5" bestFit="1" customWidth="1"/>
    <col min="4" max="4" width="21.42578125" style="5" bestFit="1" customWidth="1"/>
    <col min="5" max="5" width="10.42578125" style="5" bestFit="1" customWidth="1"/>
    <col min="6" max="6" width="23.42578125" style="5" bestFit="1" customWidth="1"/>
    <col min="7" max="7" width="9.42578125" style="6" customWidth="1"/>
    <col min="8" max="8" width="10.42578125" style="25" bestFit="1" customWidth="1"/>
    <col min="9" max="9" width="8.85546875" style="6" bestFit="1" customWidth="1"/>
    <col min="10" max="10" width="9.42578125" style="6" bestFit="1" customWidth="1"/>
    <col min="11" max="11" width="27.42578125" style="5" bestFit="1" customWidth="1"/>
    <col min="12" max="16384" width="9.140625" style="3"/>
  </cols>
  <sheetData>
    <row r="1" spans="1:11" s="2" customFormat="1" ht="29.1" customHeight="1">
      <c r="A1" s="103" t="s">
        <v>3855</v>
      </c>
      <c r="B1" s="104"/>
      <c r="C1" s="105"/>
      <c r="D1" s="105"/>
      <c r="E1" s="105"/>
      <c r="F1" s="105"/>
      <c r="G1" s="105"/>
      <c r="H1" s="105"/>
      <c r="I1" s="105"/>
      <c r="J1" s="105"/>
      <c r="K1" s="106"/>
    </row>
    <row r="2" spans="1:11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1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3599</v>
      </c>
      <c r="F3" s="114" t="s">
        <v>6</v>
      </c>
      <c r="G3" s="114" t="s">
        <v>3856</v>
      </c>
      <c r="H3" s="114"/>
      <c r="I3" s="114" t="s">
        <v>3857</v>
      </c>
      <c r="J3" s="114" t="s">
        <v>11</v>
      </c>
      <c r="K3" s="99" t="s">
        <v>12</v>
      </c>
    </row>
    <row r="4" spans="1:11" s="1" customFormat="1" ht="21" customHeight="1" thickBot="1">
      <c r="A4" s="111"/>
      <c r="B4" s="116"/>
      <c r="C4" s="113"/>
      <c r="D4" s="113"/>
      <c r="E4" s="113"/>
      <c r="F4" s="113"/>
      <c r="G4" s="96" t="s">
        <v>3858</v>
      </c>
      <c r="H4" s="97" t="s">
        <v>3859</v>
      </c>
      <c r="I4" s="113"/>
      <c r="J4" s="113"/>
      <c r="K4" s="100"/>
    </row>
    <row r="5" spans="1:11" ht="15.95">
      <c r="A5" s="101" t="s">
        <v>195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1">
      <c r="A6" s="10" t="s">
        <v>15</v>
      </c>
      <c r="B6" s="7" t="s">
        <v>3860</v>
      </c>
      <c r="C6" s="7" t="s">
        <v>3861</v>
      </c>
      <c r="D6" s="7" t="s">
        <v>3862</v>
      </c>
      <c r="E6" s="7" t="str">
        <f>"0,8828"</f>
        <v>0,8828</v>
      </c>
      <c r="F6" s="7" t="s">
        <v>558</v>
      </c>
      <c r="G6" s="10" t="s">
        <v>35</v>
      </c>
      <c r="H6" s="27">
        <v>40</v>
      </c>
      <c r="I6" s="10" t="str">
        <f>"2300,0"</f>
        <v>2300,0</v>
      </c>
      <c r="J6" s="10" t="str">
        <f>"2030,4400"</f>
        <v>2030,4400</v>
      </c>
      <c r="K6" s="7" t="s">
        <v>3863</v>
      </c>
    </row>
    <row r="7" spans="1:11">
      <c r="B7" s="5" t="s">
        <v>40</v>
      </c>
    </row>
    <row r="8" spans="1:11" ht="15.95">
      <c r="A8" s="102" t="s">
        <v>241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1">
      <c r="A9" s="13" t="s">
        <v>15</v>
      </c>
      <c r="B9" s="11" t="s">
        <v>2453</v>
      </c>
      <c r="C9" s="11" t="s">
        <v>2454</v>
      </c>
      <c r="D9" s="11" t="s">
        <v>373</v>
      </c>
      <c r="E9" s="11" t="str">
        <f>"0,7522"</f>
        <v>0,7522</v>
      </c>
      <c r="F9" s="11" t="s">
        <v>3864</v>
      </c>
      <c r="G9" s="13" t="s">
        <v>57</v>
      </c>
      <c r="H9" s="28">
        <v>45</v>
      </c>
      <c r="I9" s="13" t="str">
        <f>"3037,5"</f>
        <v>3037,5</v>
      </c>
      <c r="J9" s="13" t="str">
        <f>"2284,8075"</f>
        <v>2284,8075</v>
      </c>
      <c r="K9" s="11" t="s">
        <v>158</v>
      </c>
    </row>
    <row r="10" spans="1:11">
      <c r="A10" s="17" t="s">
        <v>62</v>
      </c>
      <c r="B10" s="14" t="s">
        <v>2459</v>
      </c>
      <c r="C10" s="14" t="s">
        <v>2460</v>
      </c>
      <c r="D10" s="14" t="s">
        <v>970</v>
      </c>
      <c r="E10" s="14" t="str">
        <f>"0,7484"</f>
        <v>0,7484</v>
      </c>
      <c r="F10" s="14" t="s">
        <v>332</v>
      </c>
      <c r="G10" s="17" t="s">
        <v>57</v>
      </c>
      <c r="H10" s="43">
        <v>36</v>
      </c>
      <c r="I10" s="17" t="str">
        <f>"2430,0"</f>
        <v>2430,0</v>
      </c>
      <c r="J10" s="17" t="str">
        <f>"1818,6119"</f>
        <v>1818,6119</v>
      </c>
      <c r="K10" s="14" t="s">
        <v>158</v>
      </c>
    </row>
    <row r="11" spans="1:11">
      <c r="A11" s="17" t="s">
        <v>73</v>
      </c>
      <c r="B11" s="14" t="s">
        <v>3865</v>
      </c>
      <c r="C11" s="14" t="s">
        <v>174</v>
      </c>
      <c r="D11" s="14" t="s">
        <v>979</v>
      </c>
      <c r="E11" s="14" t="str">
        <f>"0,7531"</f>
        <v>0,7531</v>
      </c>
      <c r="F11" s="14" t="s">
        <v>91</v>
      </c>
      <c r="G11" s="17" t="s">
        <v>57</v>
      </c>
      <c r="H11" s="43">
        <v>33</v>
      </c>
      <c r="I11" s="17" t="str">
        <f>"2227,5"</f>
        <v>2227,5</v>
      </c>
      <c r="J11" s="17" t="str">
        <f>"1677,6416"</f>
        <v>1677,6416</v>
      </c>
      <c r="K11" s="14" t="s">
        <v>158</v>
      </c>
    </row>
    <row r="12" spans="1:11">
      <c r="A12" s="17" t="s">
        <v>15</v>
      </c>
      <c r="B12" s="14" t="s">
        <v>2453</v>
      </c>
      <c r="C12" s="14" t="s">
        <v>2466</v>
      </c>
      <c r="D12" s="14" t="s">
        <v>373</v>
      </c>
      <c r="E12" s="14" t="str">
        <f>"0,7522"</f>
        <v>0,7522</v>
      </c>
      <c r="F12" s="14" t="s">
        <v>3866</v>
      </c>
      <c r="G12" s="17" t="s">
        <v>57</v>
      </c>
      <c r="H12" s="43">
        <v>45</v>
      </c>
      <c r="I12" s="17" t="str">
        <f>"3037,5"</f>
        <v>3037,5</v>
      </c>
      <c r="J12" s="17" t="str">
        <f>"2661,8008"</f>
        <v>2661,8008</v>
      </c>
      <c r="K12" s="14" t="s">
        <v>158</v>
      </c>
    </row>
    <row r="13" spans="1:11">
      <c r="A13" s="20" t="s">
        <v>15</v>
      </c>
      <c r="B13" s="18" t="s">
        <v>2467</v>
      </c>
      <c r="C13" s="18" t="s">
        <v>3867</v>
      </c>
      <c r="D13" s="18" t="s">
        <v>2469</v>
      </c>
      <c r="E13" s="18" t="str">
        <f>"0,7551"</f>
        <v>0,7551</v>
      </c>
      <c r="F13" s="18" t="s">
        <v>2470</v>
      </c>
      <c r="G13" s="20" t="s">
        <v>57</v>
      </c>
      <c r="H13" s="26">
        <v>33</v>
      </c>
      <c r="I13" s="20" t="str">
        <f>"2227,5"</f>
        <v>2227,5</v>
      </c>
      <c r="J13" s="20" t="str">
        <f>"2438,8787"</f>
        <v>2438,8787</v>
      </c>
      <c r="K13" s="18" t="s">
        <v>2471</v>
      </c>
    </row>
    <row r="14" spans="1:11">
      <c r="B14" s="5" t="s">
        <v>40</v>
      </c>
    </row>
    <row r="15" spans="1:11" ht="15.95">
      <c r="A15" s="102" t="s">
        <v>301</v>
      </c>
      <c r="B15" s="102"/>
      <c r="C15" s="102"/>
      <c r="D15" s="102"/>
      <c r="E15" s="102"/>
      <c r="F15" s="102"/>
      <c r="G15" s="102"/>
      <c r="H15" s="102"/>
      <c r="I15" s="102"/>
      <c r="J15" s="102"/>
    </row>
    <row r="16" spans="1:11">
      <c r="A16" s="13" t="s">
        <v>15</v>
      </c>
      <c r="B16" s="11" t="s">
        <v>3868</v>
      </c>
      <c r="C16" s="11" t="s">
        <v>3869</v>
      </c>
      <c r="D16" s="11" t="s">
        <v>3721</v>
      </c>
      <c r="E16" s="11" t="str">
        <f>"0,7117"</f>
        <v>0,7117</v>
      </c>
      <c r="F16" s="11" t="s">
        <v>91</v>
      </c>
      <c r="G16" s="13" t="s">
        <v>140</v>
      </c>
      <c r="H16" s="28">
        <v>41</v>
      </c>
      <c r="I16" s="13" t="str">
        <f>"2972,5"</f>
        <v>2972,5</v>
      </c>
      <c r="J16" s="13" t="str">
        <f>"2115,5283"</f>
        <v>2115,5283</v>
      </c>
      <c r="K16" s="11" t="s">
        <v>158</v>
      </c>
    </row>
    <row r="17" spans="1:11">
      <c r="A17" s="17" t="s">
        <v>62</v>
      </c>
      <c r="B17" s="14" t="s">
        <v>3870</v>
      </c>
      <c r="C17" s="14" t="s">
        <v>3871</v>
      </c>
      <c r="D17" s="14" t="s">
        <v>2510</v>
      </c>
      <c r="E17" s="14" t="str">
        <f>"0,6947"</f>
        <v>0,6947</v>
      </c>
      <c r="F17" s="14" t="s">
        <v>3872</v>
      </c>
      <c r="G17" s="17" t="s">
        <v>80</v>
      </c>
      <c r="H17" s="43">
        <v>40</v>
      </c>
      <c r="I17" s="17" t="str">
        <f>"3000,0"</f>
        <v>3000,0</v>
      </c>
      <c r="J17" s="17" t="str">
        <f>"2084,1000"</f>
        <v>2084,1000</v>
      </c>
      <c r="K17" s="14" t="s">
        <v>158</v>
      </c>
    </row>
    <row r="18" spans="1:11">
      <c r="A18" s="17" t="s">
        <v>73</v>
      </c>
      <c r="B18" s="14" t="s">
        <v>2530</v>
      </c>
      <c r="C18" s="14" t="s">
        <v>2531</v>
      </c>
      <c r="D18" s="14" t="s">
        <v>419</v>
      </c>
      <c r="E18" s="14" t="str">
        <f>"0,6927"</f>
        <v>0,6927</v>
      </c>
      <c r="F18" s="14" t="s">
        <v>3873</v>
      </c>
      <c r="G18" s="17" t="s">
        <v>80</v>
      </c>
      <c r="H18" s="43">
        <v>18</v>
      </c>
      <c r="I18" s="17" t="str">
        <f>"1350,0"</f>
        <v>1350,0</v>
      </c>
      <c r="J18" s="17" t="str">
        <f>"935,0775"</f>
        <v>935,0775</v>
      </c>
      <c r="K18" s="14" t="s">
        <v>158</v>
      </c>
    </row>
    <row r="19" spans="1:11">
      <c r="A19" s="17" t="s">
        <v>15</v>
      </c>
      <c r="B19" s="14" t="s">
        <v>3874</v>
      </c>
      <c r="C19" s="14" t="s">
        <v>3875</v>
      </c>
      <c r="D19" s="14" t="s">
        <v>308</v>
      </c>
      <c r="E19" s="14" t="str">
        <f>"0,6892"</f>
        <v>0,6892</v>
      </c>
      <c r="F19" s="14" t="s">
        <v>3873</v>
      </c>
      <c r="G19" s="17" t="s">
        <v>80</v>
      </c>
      <c r="H19" s="43">
        <v>37</v>
      </c>
      <c r="I19" s="17" t="str">
        <f>"2775,0"</f>
        <v>2775,0</v>
      </c>
      <c r="J19" s="17" t="str">
        <f>"1994,7687"</f>
        <v>1994,7687</v>
      </c>
      <c r="K19" s="14" t="s">
        <v>158</v>
      </c>
    </row>
    <row r="20" spans="1:11">
      <c r="A20" s="20" t="s">
        <v>15</v>
      </c>
      <c r="B20" s="18" t="s">
        <v>3876</v>
      </c>
      <c r="C20" s="18" t="s">
        <v>3877</v>
      </c>
      <c r="D20" s="18" t="s">
        <v>319</v>
      </c>
      <c r="E20" s="18" t="str">
        <f>"0,7411"</f>
        <v>0,7411</v>
      </c>
      <c r="F20" s="18" t="s">
        <v>3878</v>
      </c>
      <c r="G20" s="20" t="s">
        <v>33</v>
      </c>
      <c r="H20" s="26">
        <v>24</v>
      </c>
      <c r="I20" s="20" t="str">
        <f>"1680,0"</f>
        <v>1680,0</v>
      </c>
      <c r="J20" s="20" t="str">
        <f>"1474,0374"</f>
        <v>1474,0374</v>
      </c>
      <c r="K20" s="18" t="s">
        <v>158</v>
      </c>
    </row>
    <row r="21" spans="1:11">
      <c r="B21" s="5" t="s">
        <v>40</v>
      </c>
    </row>
    <row r="22" spans="1:11" ht="15.95">
      <c r="A22" s="102" t="s">
        <v>334</v>
      </c>
      <c r="B22" s="102"/>
      <c r="C22" s="102"/>
      <c r="D22" s="102"/>
      <c r="E22" s="102"/>
      <c r="F22" s="102"/>
      <c r="G22" s="102"/>
      <c r="H22" s="102"/>
      <c r="I22" s="102"/>
      <c r="J22" s="102"/>
    </row>
    <row r="23" spans="1:11">
      <c r="A23" s="13" t="s">
        <v>15</v>
      </c>
      <c r="B23" s="11" t="s">
        <v>514</v>
      </c>
      <c r="C23" s="11" t="s">
        <v>3879</v>
      </c>
      <c r="D23" s="11" t="s">
        <v>516</v>
      </c>
      <c r="E23" s="11" t="str">
        <f>"0,6461"</f>
        <v>0,6461</v>
      </c>
      <c r="F23" s="11" t="s">
        <v>403</v>
      </c>
      <c r="G23" s="13" t="s">
        <v>146</v>
      </c>
      <c r="H23" s="28">
        <v>20</v>
      </c>
      <c r="I23" s="13" t="str">
        <f>"1650,0"</f>
        <v>1650,0</v>
      </c>
      <c r="J23" s="13" t="str">
        <f>"1066,1475"</f>
        <v>1066,1475</v>
      </c>
      <c r="K23" s="11" t="s">
        <v>517</v>
      </c>
    </row>
    <row r="24" spans="1:11">
      <c r="A24" s="17" t="s">
        <v>15</v>
      </c>
      <c r="B24" s="14" t="s">
        <v>3880</v>
      </c>
      <c r="C24" s="14" t="s">
        <v>3881</v>
      </c>
      <c r="D24" s="14" t="s">
        <v>3882</v>
      </c>
      <c r="E24" s="14" t="str">
        <f>"0,6589"</f>
        <v>0,6589</v>
      </c>
      <c r="F24" s="14" t="s">
        <v>3883</v>
      </c>
      <c r="G24" s="17" t="s">
        <v>81</v>
      </c>
      <c r="H24" s="43">
        <v>47</v>
      </c>
      <c r="I24" s="17" t="str">
        <f>"3760,0"</f>
        <v>3760,0</v>
      </c>
      <c r="J24" s="17" t="str">
        <f>"2477,6519"</f>
        <v>2477,6519</v>
      </c>
      <c r="K24" s="14" t="s">
        <v>3815</v>
      </c>
    </row>
    <row r="25" spans="1:11">
      <c r="A25" s="17" t="s">
        <v>62</v>
      </c>
      <c r="B25" s="14" t="s">
        <v>2630</v>
      </c>
      <c r="C25" s="14" t="s">
        <v>3605</v>
      </c>
      <c r="D25" s="14" t="s">
        <v>539</v>
      </c>
      <c r="E25" s="14" t="str">
        <f>"0,6477"</f>
        <v>0,6477</v>
      </c>
      <c r="F25" s="14" t="s">
        <v>262</v>
      </c>
      <c r="G25" s="17" t="s">
        <v>146</v>
      </c>
      <c r="H25" s="43">
        <v>36</v>
      </c>
      <c r="I25" s="17" t="str">
        <f>"2970,0"</f>
        <v>2970,0</v>
      </c>
      <c r="J25" s="17" t="str">
        <f>"1923,5205"</f>
        <v>1923,5205</v>
      </c>
      <c r="K25" s="14" t="s">
        <v>158</v>
      </c>
    </row>
    <row r="26" spans="1:11">
      <c r="A26" s="17" t="s">
        <v>73</v>
      </c>
      <c r="B26" s="14" t="s">
        <v>3884</v>
      </c>
      <c r="C26" s="14" t="s">
        <v>3885</v>
      </c>
      <c r="D26" s="14" t="s">
        <v>3886</v>
      </c>
      <c r="E26" s="14" t="str">
        <f>"0,6682"</f>
        <v>0,6682</v>
      </c>
      <c r="F26" s="14" t="s">
        <v>3887</v>
      </c>
      <c r="G26" s="17" t="s">
        <v>81</v>
      </c>
      <c r="H26" s="43">
        <v>29</v>
      </c>
      <c r="I26" s="17" t="str">
        <f>"2320,0"</f>
        <v>2320,0</v>
      </c>
      <c r="J26" s="17" t="str">
        <f>"1550,1080"</f>
        <v>1550,1080</v>
      </c>
      <c r="K26" s="14" t="s">
        <v>158</v>
      </c>
    </row>
    <row r="27" spans="1:11">
      <c r="A27" s="17" t="s">
        <v>75</v>
      </c>
      <c r="B27" s="14" t="s">
        <v>3888</v>
      </c>
      <c r="C27" s="14" t="s">
        <v>3889</v>
      </c>
      <c r="D27" s="14" t="s">
        <v>3890</v>
      </c>
      <c r="E27" s="14" t="str">
        <f>"0,6761"</f>
        <v>0,6761</v>
      </c>
      <c r="F27" s="14" t="s">
        <v>2673</v>
      </c>
      <c r="G27" s="17" t="s">
        <v>104</v>
      </c>
      <c r="H27" s="43">
        <v>28</v>
      </c>
      <c r="I27" s="17" t="str">
        <f>"2170,0"</f>
        <v>2170,0</v>
      </c>
      <c r="J27" s="17" t="str">
        <f>"1467,1370"</f>
        <v>1467,1370</v>
      </c>
      <c r="K27" s="14" t="s">
        <v>158</v>
      </c>
    </row>
    <row r="28" spans="1:11">
      <c r="A28" s="17" t="s">
        <v>87</v>
      </c>
      <c r="B28" s="14" t="s">
        <v>2594</v>
      </c>
      <c r="C28" s="14" t="s">
        <v>2595</v>
      </c>
      <c r="D28" s="14" t="s">
        <v>512</v>
      </c>
      <c r="E28" s="14" t="str">
        <f>"0,6540"</f>
        <v>0,6540</v>
      </c>
      <c r="F28" s="14" t="s">
        <v>91</v>
      </c>
      <c r="G28" s="17" t="s">
        <v>146</v>
      </c>
      <c r="H28" s="43">
        <v>27</v>
      </c>
      <c r="I28" s="17" t="str">
        <f>"2227,5"</f>
        <v>2227,5</v>
      </c>
      <c r="J28" s="17" t="str">
        <f>"1456,7850"</f>
        <v>1456,7850</v>
      </c>
      <c r="K28" s="14" t="s">
        <v>158</v>
      </c>
    </row>
    <row r="29" spans="1:11">
      <c r="A29" s="17" t="s">
        <v>168</v>
      </c>
      <c r="B29" s="14" t="s">
        <v>3891</v>
      </c>
      <c r="C29" s="14" t="s">
        <v>3892</v>
      </c>
      <c r="D29" s="14" t="s">
        <v>1469</v>
      </c>
      <c r="E29" s="14" t="str">
        <f>"0,6529"</f>
        <v>0,6529</v>
      </c>
      <c r="F29" s="14" t="s">
        <v>54</v>
      </c>
      <c r="G29" s="17" t="s">
        <v>146</v>
      </c>
      <c r="H29" s="43">
        <v>23</v>
      </c>
      <c r="I29" s="17" t="str">
        <f>"1897,5"</f>
        <v>1897,5</v>
      </c>
      <c r="J29" s="17" t="str">
        <f>"1238,8777"</f>
        <v>1238,8777</v>
      </c>
      <c r="K29" s="14" t="s">
        <v>158</v>
      </c>
    </row>
    <row r="30" spans="1:11">
      <c r="A30" s="17" t="s">
        <v>15</v>
      </c>
      <c r="B30" s="14" t="s">
        <v>3893</v>
      </c>
      <c r="C30" s="14" t="s">
        <v>3894</v>
      </c>
      <c r="D30" s="14" t="s">
        <v>3895</v>
      </c>
      <c r="E30" s="14" t="str">
        <f>"0,6724"</f>
        <v>0,6724</v>
      </c>
      <c r="F30" s="14" t="s">
        <v>3896</v>
      </c>
      <c r="G30" s="17" t="s">
        <v>104</v>
      </c>
      <c r="H30" s="43">
        <v>35</v>
      </c>
      <c r="I30" s="17" t="str">
        <f>"2712,5"</f>
        <v>2712,5</v>
      </c>
      <c r="J30" s="17" t="str">
        <f>"1880,4254"</f>
        <v>1880,4254</v>
      </c>
      <c r="K30" s="14" t="s">
        <v>158</v>
      </c>
    </row>
    <row r="31" spans="1:11">
      <c r="A31" s="17" t="s">
        <v>62</v>
      </c>
      <c r="B31" s="14" t="s">
        <v>2625</v>
      </c>
      <c r="C31" s="14" t="s">
        <v>2626</v>
      </c>
      <c r="D31" s="14" t="s">
        <v>521</v>
      </c>
      <c r="E31" s="14" t="str">
        <f>"0,6503"</f>
        <v>0,6503</v>
      </c>
      <c r="F31" s="14" t="s">
        <v>1238</v>
      </c>
      <c r="G31" s="17" t="s">
        <v>146</v>
      </c>
      <c r="H31" s="43">
        <v>21</v>
      </c>
      <c r="I31" s="17" t="str">
        <f>"1732,5"</f>
        <v>1732,5</v>
      </c>
      <c r="J31" s="17" t="str">
        <f>"1175,0002"</f>
        <v>1175,0002</v>
      </c>
      <c r="K31" s="14" t="s">
        <v>158</v>
      </c>
    </row>
    <row r="32" spans="1:11">
      <c r="A32" s="17" t="s">
        <v>15</v>
      </c>
      <c r="B32" s="14" t="s">
        <v>2630</v>
      </c>
      <c r="C32" s="14" t="s">
        <v>2631</v>
      </c>
      <c r="D32" s="14" t="s">
        <v>539</v>
      </c>
      <c r="E32" s="14" t="str">
        <f>"0,6477"</f>
        <v>0,6477</v>
      </c>
      <c r="F32" s="14" t="s">
        <v>262</v>
      </c>
      <c r="G32" s="17" t="s">
        <v>146</v>
      </c>
      <c r="H32" s="43">
        <v>36</v>
      </c>
      <c r="I32" s="17" t="str">
        <f>"2970,0"</f>
        <v>2970,0</v>
      </c>
      <c r="J32" s="17" t="str">
        <f>"2206,2780"</f>
        <v>2206,2780</v>
      </c>
      <c r="K32" s="14" t="s">
        <v>158</v>
      </c>
    </row>
    <row r="33" spans="1:11">
      <c r="A33" s="17" t="s">
        <v>62</v>
      </c>
      <c r="B33" s="14" t="s">
        <v>3897</v>
      </c>
      <c r="C33" s="14" t="s">
        <v>3898</v>
      </c>
      <c r="D33" s="14" t="s">
        <v>521</v>
      </c>
      <c r="E33" s="14" t="str">
        <f>"0,6503"</f>
        <v>0,6503</v>
      </c>
      <c r="F33" s="14" t="s">
        <v>1279</v>
      </c>
      <c r="G33" s="17" t="s">
        <v>146</v>
      </c>
      <c r="H33" s="43">
        <v>35</v>
      </c>
      <c r="I33" s="17" t="str">
        <f>"2887,5"</f>
        <v>2887,5</v>
      </c>
      <c r="J33" s="17" t="str">
        <f>"2469,0400"</f>
        <v>2469,0400</v>
      </c>
      <c r="K33" s="14" t="s">
        <v>158</v>
      </c>
    </row>
    <row r="34" spans="1:11">
      <c r="A34" s="20" t="s">
        <v>15</v>
      </c>
      <c r="B34" s="18" t="s">
        <v>3899</v>
      </c>
      <c r="C34" s="18" t="s">
        <v>3900</v>
      </c>
      <c r="D34" s="18" t="s">
        <v>575</v>
      </c>
      <c r="E34" s="18" t="str">
        <f>"0,6451"</f>
        <v>0,6451</v>
      </c>
      <c r="F34" s="18" t="s">
        <v>91</v>
      </c>
      <c r="G34" s="20" t="s">
        <v>146</v>
      </c>
      <c r="H34" s="26">
        <v>26</v>
      </c>
      <c r="I34" s="20" t="str">
        <f>"2145,0"</f>
        <v>2145,0</v>
      </c>
      <c r="J34" s="20" t="str">
        <f>"1890,1881"</f>
        <v>1890,1881</v>
      </c>
      <c r="K34" s="18" t="s">
        <v>158</v>
      </c>
    </row>
    <row r="35" spans="1:11">
      <c r="B35" s="5" t="s">
        <v>40</v>
      </c>
    </row>
    <row r="36" spans="1:11" ht="15.95">
      <c r="A36" s="102" t="s">
        <v>598</v>
      </c>
      <c r="B36" s="102"/>
      <c r="C36" s="102"/>
      <c r="D36" s="102"/>
      <c r="E36" s="102"/>
      <c r="F36" s="102"/>
      <c r="G36" s="102"/>
      <c r="H36" s="102"/>
      <c r="I36" s="102"/>
      <c r="J36" s="102"/>
    </row>
    <row r="37" spans="1:11">
      <c r="A37" s="13" t="s">
        <v>15</v>
      </c>
      <c r="B37" s="11" t="s">
        <v>3901</v>
      </c>
      <c r="C37" s="11" t="s">
        <v>3902</v>
      </c>
      <c r="D37" s="11" t="s">
        <v>1101</v>
      </c>
      <c r="E37" s="11" t="str">
        <f>"0,6281"</f>
        <v>0,6281</v>
      </c>
      <c r="F37" s="11" t="s">
        <v>3903</v>
      </c>
      <c r="G37" s="13" t="s">
        <v>120</v>
      </c>
      <c r="H37" s="28">
        <v>21</v>
      </c>
      <c r="I37" s="13" t="str">
        <f>"1837,5"</f>
        <v>1837,5</v>
      </c>
      <c r="J37" s="13" t="str">
        <f>"1154,1337"</f>
        <v>1154,1337</v>
      </c>
      <c r="K37" s="11" t="s">
        <v>158</v>
      </c>
    </row>
    <row r="38" spans="1:11">
      <c r="A38" s="17" t="s">
        <v>15</v>
      </c>
      <c r="B38" s="14" t="s">
        <v>2124</v>
      </c>
      <c r="C38" s="14" t="s">
        <v>3904</v>
      </c>
      <c r="D38" s="14" t="s">
        <v>625</v>
      </c>
      <c r="E38" s="14" t="str">
        <f>"0,6137"</f>
        <v>0,6137</v>
      </c>
      <c r="F38" s="14" t="s">
        <v>737</v>
      </c>
      <c r="G38" s="17" t="s">
        <v>36</v>
      </c>
      <c r="H38" s="43">
        <v>22</v>
      </c>
      <c r="I38" s="17" t="str">
        <f>"1980,0"</f>
        <v>1980,0</v>
      </c>
      <c r="J38" s="17" t="str">
        <f>"1215,2250"</f>
        <v>1215,2250</v>
      </c>
      <c r="K38" s="14" t="s">
        <v>517</v>
      </c>
    </row>
    <row r="39" spans="1:11">
      <c r="A39" s="17" t="s">
        <v>15</v>
      </c>
      <c r="B39" s="14" t="s">
        <v>2692</v>
      </c>
      <c r="C39" s="14" t="s">
        <v>2693</v>
      </c>
      <c r="D39" s="14" t="s">
        <v>1480</v>
      </c>
      <c r="E39" s="14" t="str">
        <f>"0,6149"</f>
        <v>0,6149</v>
      </c>
      <c r="F39" s="14" t="s">
        <v>91</v>
      </c>
      <c r="G39" s="17" t="s">
        <v>36</v>
      </c>
      <c r="H39" s="43">
        <v>42</v>
      </c>
      <c r="I39" s="17" t="str">
        <f>"3780,0"</f>
        <v>3780,0</v>
      </c>
      <c r="J39" s="17" t="str">
        <f>"2324,3220"</f>
        <v>2324,3220</v>
      </c>
      <c r="K39" s="14" t="s">
        <v>2694</v>
      </c>
    </row>
    <row r="40" spans="1:11">
      <c r="A40" s="17" t="s">
        <v>62</v>
      </c>
      <c r="B40" s="14" t="s">
        <v>3905</v>
      </c>
      <c r="C40" s="14" t="s">
        <v>3906</v>
      </c>
      <c r="D40" s="14" t="s">
        <v>1070</v>
      </c>
      <c r="E40" s="14" t="str">
        <f>"0,6161"</f>
        <v>0,6161</v>
      </c>
      <c r="F40" s="14" t="s">
        <v>2142</v>
      </c>
      <c r="G40" s="17" t="s">
        <v>36</v>
      </c>
      <c r="H40" s="43">
        <v>37</v>
      </c>
      <c r="I40" s="17" t="str">
        <f>"3330,0"</f>
        <v>3330,0</v>
      </c>
      <c r="J40" s="17" t="str">
        <f>"2051,4465"</f>
        <v>2051,4465</v>
      </c>
      <c r="K40" s="14" t="s">
        <v>3907</v>
      </c>
    </row>
    <row r="41" spans="1:11">
      <c r="A41" s="17" t="s">
        <v>73</v>
      </c>
      <c r="B41" s="14" t="s">
        <v>2666</v>
      </c>
      <c r="C41" s="14" t="s">
        <v>2667</v>
      </c>
      <c r="D41" s="14" t="s">
        <v>1480</v>
      </c>
      <c r="E41" s="14" t="str">
        <f>"0,6149"</f>
        <v>0,6149</v>
      </c>
      <c r="F41" s="14" t="s">
        <v>91</v>
      </c>
      <c r="G41" s="17" t="s">
        <v>36</v>
      </c>
      <c r="H41" s="43">
        <v>34</v>
      </c>
      <c r="I41" s="17" t="str">
        <f>"3060,0"</f>
        <v>3060,0</v>
      </c>
      <c r="J41" s="17" t="str">
        <f>"1881,5940"</f>
        <v>1881,5940</v>
      </c>
      <c r="K41" s="14" t="s">
        <v>158</v>
      </c>
    </row>
    <row r="42" spans="1:11">
      <c r="A42" s="17" t="s">
        <v>75</v>
      </c>
      <c r="B42" s="14" t="s">
        <v>3908</v>
      </c>
      <c r="C42" s="14" t="s">
        <v>3909</v>
      </c>
      <c r="D42" s="14" t="s">
        <v>3910</v>
      </c>
      <c r="E42" s="14" t="str">
        <f>"0,6396"</f>
        <v>0,6396</v>
      </c>
      <c r="F42" s="14" t="s">
        <v>558</v>
      </c>
      <c r="G42" s="17" t="s">
        <v>67</v>
      </c>
      <c r="H42" s="43">
        <v>34</v>
      </c>
      <c r="I42" s="17" t="str">
        <f>"2890,0"</f>
        <v>2890,0</v>
      </c>
      <c r="J42" s="17" t="str">
        <f>"1848,5885"</f>
        <v>1848,5885</v>
      </c>
      <c r="K42" s="14" t="s">
        <v>158</v>
      </c>
    </row>
    <row r="43" spans="1:11">
      <c r="A43" s="17" t="s">
        <v>87</v>
      </c>
      <c r="B43" s="14" t="s">
        <v>3911</v>
      </c>
      <c r="C43" s="14" t="s">
        <v>3912</v>
      </c>
      <c r="D43" s="14" t="s">
        <v>2041</v>
      </c>
      <c r="E43" s="14" t="str">
        <f>"0,6133"</f>
        <v>0,6133</v>
      </c>
      <c r="F43" s="14" t="s">
        <v>91</v>
      </c>
      <c r="G43" s="17" t="s">
        <v>36</v>
      </c>
      <c r="H43" s="43">
        <v>30</v>
      </c>
      <c r="I43" s="17" t="str">
        <f>"2700,0"</f>
        <v>2700,0</v>
      </c>
      <c r="J43" s="17" t="str">
        <f>"1656,0449"</f>
        <v>1656,0449</v>
      </c>
      <c r="K43" s="14" t="s">
        <v>3913</v>
      </c>
    </row>
    <row r="44" spans="1:11">
      <c r="A44" s="17" t="s">
        <v>168</v>
      </c>
      <c r="B44" s="14" t="s">
        <v>3914</v>
      </c>
      <c r="C44" s="14" t="s">
        <v>3915</v>
      </c>
      <c r="D44" s="14" t="s">
        <v>1081</v>
      </c>
      <c r="E44" s="14" t="str">
        <f>"0,6119"</f>
        <v>0,6119</v>
      </c>
      <c r="F44" s="14" t="s">
        <v>1451</v>
      </c>
      <c r="G44" s="17" t="s">
        <v>36</v>
      </c>
      <c r="H44" s="43">
        <v>29</v>
      </c>
      <c r="I44" s="17" t="str">
        <f>"2610,0"</f>
        <v>2610,0</v>
      </c>
      <c r="J44" s="17" t="str">
        <f>"1596,9286"</f>
        <v>1596,9286</v>
      </c>
      <c r="K44" s="14" t="s">
        <v>3916</v>
      </c>
    </row>
    <row r="45" spans="1:11">
      <c r="A45" s="20" t="s">
        <v>15</v>
      </c>
      <c r="B45" s="18" t="s">
        <v>2700</v>
      </c>
      <c r="C45" s="18" t="s">
        <v>2260</v>
      </c>
      <c r="D45" s="18" t="s">
        <v>632</v>
      </c>
      <c r="E45" s="18" t="str">
        <f>"0,6165"</f>
        <v>0,6165</v>
      </c>
      <c r="F45" s="18" t="s">
        <v>2418</v>
      </c>
      <c r="G45" s="20" t="s">
        <v>36</v>
      </c>
      <c r="H45" s="26">
        <v>23</v>
      </c>
      <c r="I45" s="20" t="str">
        <f>"2070,0"</f>
        <v>2070,0</v>
      </c>
      <c r="J45" s="20" t="str">
        <f>"1301,5726"</f>
        <v>1301,5726</v>
      </c>
      <c r="K45" s="18" t="s">
        <v>158</v>
      </c>
    </row>
    <row r="46" spans="1:11">
      <c r="B46" s="5" t="s">
        <v>40</v>
      </c>
    </row>
    <row r="47" spans="1:11" ht="15.95">
      <c r="A47" s="102" t="s">
        <v>670</v>
      </c>
      <c r="B47" s="102"/>
      <c r="C47" s="102"/>
      <c r="D47" s="102"/>
      <c r="E47" s="102"/>
      <c r="F47" s="102"/>
      <c r="G47" s="102"/>
      <c r="H47" s="102"/>
      <c r="I47" s="102"/>
      <c r="J47" s="102"/>
    </row>
    <row r="48" spans="1:11">
      <c r="A48" s="13" t="s">
        <v>15</v>
      </c>
      <c r="B48" s="11" t="s">
        <v>2734</v>
      </c>
      <c r="C48" s="11" t="s">
        <v>2735</v>
      </c>
      <c r="D48" s="11" t="s">
        <v>1210</v>
      </c>
      <c r="E48" s="11" t="str">
        <f>"0,5816"</f>
        <v>0,5816</v>
      </c>
      <c r="F48" s="11" t="s">
        <v>2911</v>
      </c>
      <c r="G48" s="13" t="s">
        <v>38</v>
      </c>
      <c r="H48" s="28">
        <v>34</v>
      </c>
      <c r="I48" s="13" t="str">
        <f>"3400,0"</f>
        <v>3400,0</v>
      </c>
      <c r="J48" s="13" t="str">
        <f>"1977,2700"</f>
        <v>1977,2700</v>
      </c>
      <c r="K48" s="11" t="s">
        <v>2736</v>
      </c>
    </row>
    <row r="49" spans="1:11">
      <c r="A49" s="17" t="s">
        <v>62</v>
      </c>
      <c r="B49" s="14" t="s">
        <v>2758</v>
      </c>
      <c r="C49" s="14" t="s">
        <v>2759</v>
      </c>
      <c r="D49" s="14" t="s">
        <v>686</v>
      </c>
      <c r="E49" s="14" t="str">
        <f>"0,5840"</f>
        <v>0,5840</v>
      </c>
      <c r="F49" s="14" t="s">
        <v>1238</v>
      </c>
      <c r="G49" s="17" t="s">
        <v>38</v>
      </c>
      <c r="H49" s="43">
        <v>26</v>
      </c>
      <c r="I49" s="17" t="str">
        <f>"2600,0"</f>
        <v>2600,0</v>
      </c>
      <c r="J49" s="17" t="str">
        <f>"1518,5300"</f>
        <v>1518,5300</v>
      </c>
      <c r="K49" s="14" t="s">
        <v>2760</v>
      </c>
    </row>
    <row r="50" spans="1:11">
      <c r="A50" s="17" t="s">
        <v>73</v>
      </c>
      <c r="B50" s="14" t="s">
        <v>3917</v>
      </c>
      <c r="C50" s="14" t="s">
        <v>3918</v>
      </c>
      <c r="D50" s="14" t="s">
        <v>1190</v>
      </c>
      <c r="E50" s="14" t="str">
        <f>"0,5935"</f>
        <v>0,5935</v>
      </c>
      <c r="F50" s="14" t="s">
        <v>3919</v>
      </c>
      <c r="G50" s="17" t="s">
        <v>110</v>
      </c>
      <c r="H50" s="43">
        <v>17</v>
      </c>
      <c r="I50" s="17" t="str">
        <f>"1657,5"</f>
        <v>1657,5</v>
      </c>
      <c r="J50" s="17" t="str">
        <f>"983,6434"</f>
        <v>983,6434</v>
      </c>
      <c r="K50" s="14" t="s">
        <v>3920</v>
      </c>
    </row>
    <row r="51" spans="1:11">
      <c r="A51" s="17" t="s">
        <v>15</v>
      </c>
      <c r="B51" s="14" t="s">
        <v>2808</v>
      </c>
      <c r="C51" s="14" t="s">
        <v>2809</v>
      </c>
      <c r="D51" s="14" t="s">
        <v>1838</v>
      </c>
      <c r="E51" s="14" t="str">
        <f>"0,6064"</f>
        <v>0,6064</v>
      </c>
      <c r="F51" s="14" t="s">
        <v>2810</v>
      </c>
      <c r="G51" s="17" t="s">
        <v>68</v>
      </c>
      <c r="H51" s="43">
        <v>29</v>
      </c>
      <c r="I51" s="17" t="str">
        <f>"2682,5"</f>
        <v>2682,5</v>
      </c>
      <c r="J51" s="17" t="str">
        <f>"1677,0947"</f>
        <v>1677,0947</v>
      </c>
      <c r="K51" s="14" t="s">
        <v>2431</v>
      </c>
    </row>
    <row r="52" spans="1:11">
      <c r="A52" s="20" t="s">
        <v>15</v>
      </c>
      <c r="B52" s="18" t="s">
        <v>2836</v>
      </c>
      <c r="C52" s="18" t="s">
        <v>3921</v>
      </c>
      <c r="D52" s="18" t="s">
        <v>2154</v>
      </c>
      <c r="E52" s="18" t="str">
        <f>"0,6100"</f>
        <v>0,6100</v>
      </c>
      <c r="F52" s="18" t="s">
        <v>91</v>
      </c>
      <c r="G52" s="20" t="s">
        <v>68</v>
      </c>
      <c r="H52" s="26">
        <v>11</v>
      </c>
      <c r="I52" s="20" t="str">
        <f>"1017,5"</f>
        <v>1017,5</v>
      </c>
      <c r="J52" s="20" t="str">
        <f>"864,6003"</f>
        <v>864,6003</v>
      </c>
      <c r="K52" s="18" t="s">
        <v>158</v>
      </c>
    </row>
    <row r="53" spans="1:11">
      <c r="B53" s="5" t="s">
        <v>40</v>
      </c>
    </row>
    <row r="54" spans="1:11" ht="15.95">
      <c r="A54" s="102" t="s">
        <v>724</v>
      </c>
      <c r="B54" s="102"/>
      <c r="C54" s="102"/>
      <c r="D54" s="102"/>
      <c r="E54" s="102"/>
      <c r="F54" s="102"/>
      <c r="G54" s="102"/>
      <c r="H54" s="102"/>
      <c r="I54" s="102"/>
      <c r="J54" s="102"/>
    </row>
    <row r="55" spans="1:11">
      <c r="A55" s="13" t="s">
        <v>15</v>
      </c>
      <c r="B55" s="11" t="s">
        <v>3922</v>
      </c>
      <c r="C55" s="11" t="s">
        <v>3923</v>
      </c>
      <c r="D55" s="11" t="s">
        <v>3924</v>
      </c>
      <c r="E55" s="11" t="str">
        <f>"0,5792"</f>
        <v>0,5792</v>
      </c>
      <c r="F55" s="11" t="s">
        <v>3925</v>
      </c>
      <c r="G55" s="13" t="s">
        <v>46</v>
      </c>
      <c r="H55" s="28">
        <v>37</v>
      </c>
      <c r="I55" s="13" t="str">
        <f>"3792,5"</f>
        <v>3792,5</v>
      </c>
      <c r="J55" s="13" t="str">
        <f>"2196,4265"</f>
        <v>2196,4265</v>
      </c>
      <c r="K55" s="11" t="s">
        <v>158</v>
      </c>
    </row>
    <row r="56" spans="1:11">
      <c r="A56" s="17" t="s">
        <v>62</v>
      </c>
      <c r="B56" s="14" t="s">
        <v>3926</v>
      </c>
      <c r="C56" s="14" t="s">
        <v>3927</v>
      </c>
      <c r="D56" s="14" t="s">
        <v>2907</v>
      </c>
      <c r="E56" s="14" t="str">
        <f>"0,5744"</f>
        <v>0,5744</v>
      </c>
      <c r="F56" s="14" t="s">
        <v>906</v>
      </c>
      <c r="G56" s="17" t="s">
        <v>49</v>
      </c>
      <c r="H56" s="43">
        <v>31</v>
      </c>
      <c r="I56" s="17" t="str">
        <f>"3255,0"</f>
        <v>3255,0</v>
      </c>
      <c r="J56" s="17" t="str">
        <f>"1869,6720"</f>
        <v>1869,6720</v>
      </c>
      <c r="K56" s="14" t="s">
        <v>3928</v>
      </c>
    </row>
    <row r="57" spans="1:11">
      <c r="A57" s="17" t="s">
        <v>73</v>
      </c>
      <c r="B57" s="14" t="s">
        <v>2854</v>
      </c>
      <c r="C57" s="14" t="s">
        <v>2855</v>
      </c>
      <c r="D57" s="14" t="s">
        <v>3328</v>
      </c>
      <c r="E57" s="14" t="str">
        <f>"0,5724"</f>
        <v>0,5724</v>
      </c>
      <c r="F57" s="14" t="s">
        <v>602</v>
      </c>
      <c r="G57" s="17" t="s">
        <v>49</v>
      </c>
      <c r="H57" s="43">
        <v>30</v>
      </c>
      <c r="I57" s="17" t="str">
        <f>"3150,0"</f>
        <v>3150,0</v>
      </c>
      <c r="J57" s="17" t="str">
        <f>"1803,0599"</f>
        <v>1803,0599</v>
      </c>
      <c r="K57" s="14" t="s">
        <v>158</v>
      </c>
    </row>
    <row r="58" spans="1:11">
      <c r="A58" s="17" t="s">
        <v>75</v>
      </c>
      <c r="B58" s="14" t="s">
        <v>3929</v>
      </c>
      <c r="C58" s="14" t="s">
        <v>3930</v>
      </c>
      <c r="D58" s="14" t="s">
        <v>772</v>
      </c>
      <c r="E58" s="14" t="str">
        <f>"0,5802"</f>
        <v>0,5802</v>
      </c>
      <c r="F58" s="14" t="s">
        <v>3931</v>
      </c>
      <c r="G58" s="17" t="s">
        <v>46</v>
      </c>
      <c r="H58" s="43">
        <v>28</v>
      </c>
      <c r="I58" s="17" t="str">
        <f>"2870,0"</f>
        <v>2870,0</v>
      </c>
      <c r="J58" s="17" t="str">
        <f>"1665,0305"</f>
        <v>1665,0305</v>
      </c>
      <c r="K58" s="14" t="s">
        <v>3932</v>
      </c>
    </row>
    <row r="59" spans="1:11">
      <c r="A59" s="17" t="s">
        <v>87</v>
      </c>
      <c r="B59" s="14" t="s">
        <v>2869</v>
      </c>
      <c r="C59" s="14" t="s">
        <v>1263</v>
      </c>
      <c r="D59" s="14" t="s">
        <v>1888</v>
      </c>
      <c r="E59" s="14" t="str">
        <f>"0,5678"</f>
        <v>0,5678</v>
      </c>
      <c r="F59" s="14" t="s">
        <v>2870</v>
      </c>
      <c r="G59" s="17" t="s">
        <v>47</v>
      </c>
      <c r="H59" s="43">
        <v>26</v>
      </c>
      <c r="I59" s="17" t="str">
        <f>"2795,0"</f>
        <v>2795,0</v>
      </c>
      <c r="J59" s="17" t="str">
        <f>"1587,0010"</f>
        <v>1587,0010</v>
      </c>
      <c r="K59" s="14" t="s">
        <v>158</v>
      </c>
    </row>
    <row r="60" spans="1:11">
      <c r="A60" s="17" t="s">
        <v>168</v>
      </c>
      <c r="B60" s="14" t="s">
        <v>2859</v>
      </c>
      <c r="C60" s="14" t="s">
        <v>2860</v>
      </c>
      <c r="D60" s="14" t="s">
        <v>2861</v>
      </c>
      <c r="E60" s="14" t="str">
        <f>"0,5627"</f>
        <v>0,5627</v>
      </c>
      <c r="F60" s="14" t="s">
        <v>91</v>
      </c>
      <c r="G60" s="17" t="s">
        <v>69</v>
      </c>
      <c r="H60" s="43">
        <v>25</v>
      </c>
      <c r="I60" s="17" t="str">
        <f>"2750,0"</f>
        <v>2750,0</v>
      </c>
      <c r="J60" s="17" t="str">
        <f>"1547,5625"</f>
        <v>1547,5625</v>
      </c>
      <c r="K60" s="14" t="s">
        <v>158</v>
      </c>
    </row>
    <row r="61" spans="1:11">
      <c r="A61" s="17" t="s">
        <v>172</v>
      </c>
      <c r="B61" s="14" t="s">
        <v>734</v>
      </c>
      <c r="C61" s="14" t="s">
        <v>735</v>
      </c>
      <c r="D61" s="14" t="s">
        <v>736</v>
      </c>
      <c r="E61" s="14" t="str">
        <f>"0,5778"</f>
        <v>0,5778</v>
      </c>
      <c r="F61" s="14" t="s">
        <v>737</v>
      </c>
      <c r="G61" s="17" t="s">
        <v>46</v>
      </c>
      <c r="H61" s="43">
        <v>24</v>
      </c>
      <c r="I61" s="17" t="str">
        <f>"2460,0"</f>
        <v>2460,0</v>
      </c>
      <c r="J61" s="17" t="str">
        <f>"1421,3879"</f>
        <v>1421,3879</v>
      </c>
      <c r="K61" s="14" t="s">
        <v>739</v>
      </c>
    </row>
    <row r="62" spans="1:11">
      <c r="A62" s="17" t="s">
        <v>178</v>
      </c>
      <c r="B62" s="14" t="s">
        <v>3933</v>
      </c>
      <c r="C62" s="14" t="s">
        <v>3934</v>
      </c>
      <c r="D62" s="14" t="s">
        <v>1847</v>
      </c>
      <c r="E62" s="14" t="str">
        <f>"0,5688"</f>
        <v>0,5688</v>
      </c>
      <c r="F62" s="14" t="s">
        <v>403</v>
      </c>
      <c r="G62" s="17" t="s">
        <v>47</v>
      </c>
      <c r="H62" s="43">
        <v>22</v>
      </c>
      <c r="I62" s="17" t="str">
        <f>"2365,0"</f>
        <v>2365,0</v>
      </c>
      <c r="J62" s="17" t="str">
        <f>"1345,3302"</f>
        <v>1345,3302</v>
      </c>
      <c r="K62" s="14" t="s">
        <v>2413</v>
      </c>
    </row>
    <row r="63" spans="1:11">
      <c r="A63" s="17" t="s">
        <v>183</v>
      </c>
      <c r="B63" s="14" t="s">
        <v>2876</v>
      </c>
      <c r="C63" s="14" t="s">
        <v>2877</v>
      </c>
      <c r="D63" s="14" t="s">
        <v>2843</v>
      </c>
      <c r="E63" s="14" t="str">
        <f>"0,5716"</f>
        <v>0,5716</v>
      </c>
      <c r="F63" s="14" t="s">
        <v>720</v>
      </c>
      <c r="G63" s="17" t="s">
        <v>49</v>
      </c>
      <c r="H63" s="43">
        <v>22</v>
      </c>
      <c r="I63" s="17" t="str">
        <f>"2310,0"</f>
        <v>2310,0</v>
      </c>
      <c r="J63" s="17" t="str">
        <f>"1320,3960"</f>
        <v>1320,3960</v>
      </c>
      <c r="K63" s="14" t="s">
        <v>158</v>
      </c>
    </row>
    <row r="64" spans="1:11">
      <c r="A64" s="17" t="s">
        <v>186</v>
      </c>
      <c r="B64" s="14" t="s">
        <v>3935</v>
      </c>
      <c r="C64" s="14" t="s">
        <v>3936</v>
      </c>
      <c r="D64" s="14" t="s">
        <v>3937</v>
      </c>
      <c r="E64" s="14" t="str">
        <f>"0,5756"</f>
        <v>0,5756</v>
      </c>
      <c r="F64" s="14" t="s">
        <v>1841</v>
      </c>
      <c r="G64" s="17" t="s">
        <v>46</v>
      </c>
      <c r="H64" s="43">
        <v>22</v>
      </c>
      <c r="I64" s="17" t="str">
        <f>"2255,0"</f>
        <v>2255,0</v>
      </c>
      <c r="J64" s="17" t="str">
        <f>"1298,0907"</f>
        <v>1298,0907</v>
      </c>
      <c r="K64" s="14" t="s">
        <v>3938</v>
      </c>
    </row>
    <row r="65" spans="1:11">
      <c r="A65" s="17" t="s">
        <v>556</v>
      </c>
      <c r="B65" s="14" t="s">
        <v>2170</v>
      </c>
      <c r="C65" s="14" t="s">
        <v>2171</v>
      </c>
      <c r="D65" s="14" t="s">
        <v>776</v>
      </c>
      <c r="E65" s="14" t="str">
        <f>"0,5647"</f>
        <v>0,5647</v>
      </c>
      <c r="F65" s="14" t="s">
        <v>2172</v>
      </c>
      <c r="G65" s="17" t="s">
        <v>69</v>
      </c>
      <c r="H65" s="43">
        <v>21</v>
      </c>
      <c r="I65" s="17" t="str">
        <f>"2310,0"</f>
        <v>2310,0</v>
      </c>
      <c r="J65" s="17" t="str">
        <f>"1304,4570"</f>
        <v>1304,4570</v>
      </c>
      <c r="K65" s="14" t="s">
        <v>2173</v>
      </c>
    </row>
    <row r="66" spans="1:11">
      <c r="A66" s="17" t="s">
        <v>15</v>
      </c>
      <c r="B66" s="14" t="s">
        <v>774</v>
      </c>
      <c r="C66" s="14" t="s">
        <v>775</v>
      </c>
      <c r="D66" s="14" t="s">
        <v>776</v>
      </c>
      <c r="E66" s="14" t="str">
        <f>"0,5647"</f>
        <v>0,5647</v>
      </c>
      <c r="F66" s="14" t="s">
        <v>602</v>
      </c>
      <c r="G66" s="17" t="s">
        <v>69</v>
      </c>
      <c r="H66" s="43">
        <v>20</v>
      </c>
      <c r="I66" s="17" t="str">
        <f>"2200,0"</f>
        <v>2200,0</v>
      </c>
      <c r="J66" s="17" t="str">
        <f>"1295,7606"</f>
        <v>1295,7606</v>
      </c>
      <c r="K66" s="14" t="s">
        <v>158</v>
      </c>
    </row>
    <row r="67" spans="1:11">
      <c r="A67" s="20" t="s">
        <v>62</v>
      </c>
      <c r="B67" s="18" t="s">
        <v>2908</v>
      </c>
      <c r="C67" s="18" t="s">
        <v>2909</v>
      </c>
      <c r="D67" s="18" t="s">
        <v>2910</v>
      </c>
      <c r="E67" s="18" t="str">
        <f>"0,5810"</f>
        <v>0,5810</v>
      </c>
      <c r="F67" s="18" t="s">
        <v>2911</v>
      </c>
      <c r="G67" s="20" t="s">
        <v>46</v>
      </c>
      <c r="H67" s="26">
        <v>19</v>
      </c>
      <c r="I67" s="20" t="str">
        <f>"1947,5"</f>
        <v>1947,5</v>
      </c>
      <c r="J67" s="20" t="str">
        <f>"1208,5433"</f>
        <v>1208,5433</v>
      </c>
      <c r="K67" s="18" t="s">
        <v>2912</v>
      </c>
    </row>
    <row r="68" spans="1:11">
      <c r="B68" s="5" t="s">
        <v>40</v>
      </c>
    </row>
    <row r="69" spans="1:11" ht="15.95">
      <c r="A69" s="102" t="s">
        <v>783</v>
      </c>
      <c r="B69" s="102"/>
      <c r="C69" s="102"/>
      <c r="D69" s="102"/>
      <c r="E69" s="102"/>
      <c r="F69" s="102"/>
      <c r="G69" s="102"/>
      <c r="H69" s="102"/>
      <c r="I69" s="102"/>
      <c r="J69" s="102"/>
    </row>
    <row r="70" spans="1:11">
      <c r="A70" s="13" t="s">
        <v>15</v>
      </c>
      <c r="B70" s="11" t="s">
        <v>3939</v>
      </c>
      <c r="C70" s="11" t="s">
        <v>3940</v>
      </c>
      <c r="D70" s="11" t="s">
        <v>3941</v>
      </c>
      <c r="E70" s="11" t="str">
        <f>"0,5598"</f>
        <v>0,5598</v>
      </c>
      <c r="F70" s="11" t="s">
        <v>3903</v>
      </c>
      <c r="G70" s="13" t="s">
        <v>55</v>
      </c>
      <c r="H70" s="28">
        <v>28</v>
      </c>
      <c r="I70" s="13" t="str">
        <f>"3150,0"</f>
        <v>3150,0</v>
      </c>
      <c r="J70" s="13" t="str">
        <f>"1992,4302"</f>
        <v>1992,4302</v>
      </c>
      <c r="K70" s="11" t="s">
        <v>158</v>
      </c>
    </row>
    <row r="71" spans="1:11">
      <c r="A71" s="20" t="s">
        <v>62</v>
      </c>
      <c r="B71" s="18" t="s">
        <v>3642</v>
      </c>
      <c r="C71" s="18" t="s">
        <v>3643</v>
      </c>
      <c r="D71" s="18" t="s">
        <v>3644</v>
      </c>
      <c r="E71" s="18" t="str">
        <f>"0,5611"</f>
        <v>0,5611</v>
      </c>
      <c r="F71" s="18" t="s">
        <v>91</v>
      </c>
      <c r="G71" s="20" t="s">
        <v>55</v>
      </c>
      <c r="H71" s="26">
        <v>10</v>
      </c>
      <c r="I71" s="20" t="str">
        <f>"1125,0"</f>
        <v>1125,0</v>
      </c>
      <c r="J71" s="20" t="str">
        <f>"800,4092"</f>
        <v>800,4092</v>
      </c>
      <c r="K71" s="18" t="s">
        <v>158</v>
      </c>
    </row>
    <row r="72" spans="1:11">
      <c r="B72" s="5" t="s">
        <v>40</v>
      </c>
    </row>
    <row r="73" spans="1:11" ht="15.95">
      <c r="A73" s="102" t="s">
        <v>794</v>
      </c>
      <c r="B73" s="102"/>
      <c r="C73" s="102"/>
      <c r="D73" s="102"/>
      <c r="E73" s="102"/>
      <c r="F73" s="102"/>
      <c r="G73" s="102"/>
      <c r="H73" s="102"/>
      <c r="I73" s="102"/>
      <c r="J73" s="102"/>
    </row>
    <row r="74" spans="1:11">
      <c r="A74" s="13" t="s">
        <v>15</v>
      </c>
      <c r="B74" s="11" t="s">
        <v>3942</v>
      </c>
      <c r="C74" s="11" t="s">
        <v>3943</v>
      </c>
      <c r="D74" s="11" t="s">
        <v>3495</v>
      </c>
      <c r="E74" s="11" t="str">
        <f>"0,5406"</f>
        <v>0,5406</v>
      </c>
      <c r="F74" s="11" t="s">
        <v>91</v>
      </c>
      <c r="G74" s="13" t="s">
        <v>71</v>
      </c>
      <c r="H74" s="28">
        <v>23</v>
      </c>
      <c r="I74" s="13" t="str">
        <f>"2990,0"</f>
        <v>2990,0</v>
      </c>
      <c r="J74" s="13" t="str">
        <f>"1616,3940"</f>
        <v>1616,3940</v>
      </c>
      <c r="K74" s="11" t="s">
        <v>3944</v>
      </c>
    </row>
    <row r="75" spans="1:11">
      <c r="A75" s="17" t="s">
        <v>62</v>
      </c>
      <c r="B75" s="14" t="s">
        <v>2977</v>
      </c>
      <c r="C75" s="14" t="s">
        <v>2978</v>
      </c>
      <c r="D75" s="14" t="s">
        <v>1321</v>
      </c>
      <c r="E75" s="14" t="str">
        <f>"0,5312"</f>
        <v>0,5312</v>
      </c>
      <c r="F75" s="14" t="s">
        <v>720</v>
      </c>
      <c r="G75" s="17" t="s">
        <v>58</v>
      </c>
      <c r="H75" s="43">
        <v>20</v>
      </c>
      <c r="I75" s="17" t="str">
        <f>"2800,0"</f>
        <v>2800,0</v>
      </c>
      <c r="J75" s="17" t="str">
        <f>"1487,2760"</f>
        <v>1487,2760</v>
      </c>
      <c r="K75" s="14" t="s">
        <v>158</v>
      </c>
    </row>
    <row r="76" spans="1:11">
      <c r="A76" s="20" t="s">
        <v>73</v>
      </c>
      <c r="B76" s="18" t="s">
        <v>2979</v>
      </c>
      <c r="C76" s="18" t="s">
        <v>1995</v>
      </c>
      <c r="D76" s="18" t="s">
        <v>2980</v>
      </c>
      <c r="E76" s="18" t="str">
        <f>"0,5360"</f>
        <v>0,5360</v>
      </c>
      <c r="F76" s="18" t="s">
        <v>2870</v>
      </c>
      <c r="G76" s="20" t="s">
        <v>209</v>
      </c>
      <c r="H76" s="26">
        <v>16</v>
      </c>
      <c r="I76" s="20" t="str">
        <f>"2160,0"</f>
        <v>2160,0</v>
      </c>
      <c r="J76" s="20" t="str">
        <f>"1157,6951"</f>
        <v>1157,6951</v>
      </c>
      <c r="K76" s="18" t="s">
        <v>2981</v>
      </c>
    </row>
    <row r="77" spans="1:11">
      <c r="B77" s="5" t="s">
        <v>40</v>
      </c>
    </row>
    <row r="80" spans="1:11" ht="18">
      <c r="B80" s="23" t="s">
        <v>830</v>
      </c>
      <c r="C80" s="23"/>
    </row>
    <row r="81" spans="2:6" ht="15.95">
      <c r="B81" s="95" t="s">
        <v>855</v>
      </c>
      <c r="C81" s="95"/>
    </row>
    <row r="82" spans="2:6" ht="14.1">
      <c r="B82" s="24"/>
      <c r="C82" s="24" t="s">
        <v>832</v>
      </c>
    </row>
    <row r="83" spans="2:6" ht="14.1">
      <c r="B83" s="4" t="s">
        <v>833</v>
      </c>
      <c r="C83" s="4" t="s">
        <v>834</v>
      </c>
      <c r="D83" s="4" t="s">
        <v>835</v>
      </c>
      <c r="E83" s="4" t="s">
        <v>3857</v>
      </c>
      <c r="F83" s="4" t="s">
        <v>3650</v>
      </c>
    </row>
    <row r="84" spans="2:6">
      <c r="B84" s="5" t="s">
        <v>3880</v>
      </c>
      <c r="C84" s="5" t="s">
        <v>832</v>
      </c>
      <c r="D84" s="6" t="s">
        <v>868</v>
      </c>
      <c r="E84" s="6" t="s">
        <v>3945</v>
      </c>
      <c r="F84" s="6" t="s">
        <v>3946</v>
      </c>
    </row>
    <row r="85" spans="2:6">
      <c r="B85" s="5" t="s">
        <v>2692</v>
      </c>
      <c r="C85" s="5" t="s">
        <v>832</v>
      </c>
      <c r="D85" s="6" t="s">
        <v>858</v>
      </c>
      <c r="E85" s="6" t="s">
        <v>3947</v>
      </c>
      <c r="F85" s="6" t="s">
        <v>3948</v>
      </c>
    </row>
    <row r="86" spans="2:6">
      <c r="B86" s="5" t="s">
        <v>2453</v>
      </c>
      <c r="C86" s="5" t="s">
        <v>832</v>
      </c>
      <c r="D86" s="6" t="s">
        <v>844</v>
      </c>
      <c r="E86" s="6" t="s">
        <v>3949</v>
      </c>
      <c r="F86" s="6" t="s">
        <v>3950</v>
      </c>
    </row>
    <row r="88" spans="2:6" ht="14.1">
      <c r="B88" s="24"/>
      <c r="C88" s="24" t="s">
        <v>847</v>
      </c>
    </row>
    <row r="89" spans="2:6" ht="14.1">
      <c r="B89" s="4" t="s">
        <v>833</v>
      </c>
      <c r="C89" s="4" t="s">
        <v>834</v>
      </c>
      <c r="D89" s="4" t="s">
        <v>835</v>
      </c>
      <c r="E89" s="4" t="s">
        <v>3857</v>
      </c>
      <c r="F89" s="4" t="s">
        <v>3650</v>
      </c>
    </row>
    <row r="90" spans="2:6">
      <c r="B90" s="5" t="s">
        <v>2453</v>
      </c>
      <c r="C90" s="5" t="s">
        <v>884</v>
      </c>
      <c r="D90" s="6" t="s">
        <v>844</v>
      </c>
      <c r="E90" s="6" t="s">
        <v>3949</v>
      </c>
      <c r="F90" s="6" t="s">
        <v>3951</v>
      </c>
    </row>
    <row r="91" spans="2:6">
      <c r="B91" s="5" t="s">
        <v>3897</v>
      </c>
      <c r="C91" s="5" t="s">
        <v>884</v>
      </c>
      <c r="D91" s="6" t="s">
        <v>868</v>
      </c>
      <c r="E91" s="6" t="s">
        <v>3952</v>
      </c>
      <c r="F91" s="6" t="s">
        <v>3953</v>
      </c>
    </row>
    <row r="92" spans="2:6">
      <c r="B92" s="5" t="s">
        <v>2467</v>
      </c>
      <c r="C92" s="5" t="s">
        <v>3954</v>
      </c>
      <c r="D92" s="6" t="s">
        <v>844</v>
      </c>
      <c r="E92" s="6" t="s">
        <v>3955</v>
      </c>
      <c r="F92" s="6" t="s">
        <v>3956</v>
      </c>
    </row>
    <row r="93" spans="2:6">
      <c r="B93" s="5" t="s">
        <v>40</v>
      </c>
    </row>
  </sheetData>
  <mergeCells count="20">
    <mergeCell ref="A73:J73"/>
    <mergeCell ref="I3:I4"/>
    <mergeCell ref="J3:J4"/>
    <mergeCell ref="K3:K4"/>
    <mergeCell ref="A5:J5"/>
    <mergeCell ref="A8:J8"/>
    <mergeCell ref="A15:J15"/>
    <mergeCell ref="B3:B4"/>
    <mergeCell ref="A22:J22"/>
    <mergeCell ref="A36:J36"/>
    <mergeCell ref="A47:J47"/>
    <mergeCell ref="A54:J54"/>
    <mergeCell ref="A69:J69"/>
    <mergeCell ref="A1:K2"/>
    <mergeCell ref="A3:A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110"/>
  <sheetViews>
    <sheetView workbookViewId="0">
      <selection sqref="A1:K2"/>
    </sheetView>
  </sheetViews>
  <sheetFormatPr defaultColWidth="9.140625" defaultRowHeight="12.95"/>
  <cols>
    <col min="1" max="1" width="7.42578125" style="6" bestFit="1" customWidth="1"/>
    <col min="2" max="2" width="23.28515625" style="5" bestFit="1" customWidth="1"/>
    <col min="3" max="3" width="28.42578125" style="5" bestFit="1" customWidth="1"/>
    <col min="4" max="4" width="21.42578125" style="5" bestFit="1" customWidth="1"/>
    <col min="5" max="5" width="10.42578125" style="5" bestFit="1" customWidth="1"/>
    <col min="6" max="6" width="23.140625" style="5" bestFit="1" customWidth="1"/>
    <col min="7" max="7" width="9.42578125" style="6" customWidth="1"/>
    <col min="8" max="8" width="10.42578125" style="25" bestFit="1" customWidth="1"/>
    <col min="9" max="9" width="8.85546875" style="39" bestFit="1" customWidth="1"/>
    <col min="10" max="10" width="9.42578125" style="6" bestFit="1" customWidth="1"/>
    <col min="11" max="11" width="22.140625" style="5" customWidth="1"/>
    <col min="12" max="16384" width="9.140625" style="3"/>
  </cols>
  <sheetData>
    <row r="1" spans="1:11" s="2" customFormat="1" ht="29.1" customHeight="1">
      <c r="A1" s="103" t="s">
        <v>3957</v>
      </c>
      <c r="B1" s="104"/>
      <c r="C1" s="105"/>
      <c r="D1" s="105"/>
      <c r="E1" s="105"/>
      <c r="F1" s="105"/>
      <c r="G1" s="105"/>
      <c r="H1" s="105"/>
      <c r="I1" s="105"/>
      <c r="J1" s="105"/>
      <c r="K1" s="106"/>
    </row>
    <row r="2" spans="1:11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1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3599</v>
      </c>
      <c r="F3" s="114" t="s">
        <v>6</v>
      </c>
      <c r="G3" s="114" t="s">
        <v>3856</v>
      </c>
      <c r="H3" s="114"/>
      <c r="I3" s="117" t="s">
        <v>3857</v>
      </c>
      <c r="J3" s="114" t="s">
        <v>11</v>
      </c>
      <c r="K3" s="99" t="s">
        <v>12</v>
      </c>
    </row>
    <row r="4" spans="1:11" s="1" customFormat="1" ht="21" customHeight="1" thickBot="1">
      <c r="A4" s="111"/>
      <c r="B4" s="116"/>
      <c r="C4" s="113"/>
      <c r="D4" s="113"/>
      <c r="E4" s="113"/>
      <c r="F4" s="113"/>
      <c r="G4" s="96" t="s">
        <v>3858</v>
      </c>
      <c r="H4" s="97" t="s">
        <v>3859</v>
      </c>
      <c r="I4" s="118"/>
      <c r="J4" s="113"/>
      <c r="K4" s="100"/>
    </row>
    <row r="5" spans="1:11" ht="15.95">
      <c r="A5" s="101" t="s">
        <v>98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1">
      <c r="A6" s="10" t="s">
        <v>15</v>
      </c>
      <c r="B6" s="7" t="s">
        <v>3958</v>
      </c>
      <c r="C6" s="7" t="s">
        <v>3959</v>
      </c>
      <c r="D6" s="7" t="s">
        <v>114</v>
      </c>
      <c r="E6" s="7" t="str">
        <f>"1,1144"</f>
        <v>1,1144</v>
      </c>
      <c r="F6" s="7" t="s">
        <v>91</v>
      </c>
      <c r="G6" s="10" t="s">
        <v>34</v>
      </c>
      <c r="H6" s="27">
        <v>21</v>
      </c>
      <c r="I6" s="41" t="str">
        <f>"1102,5"</f>
        <v>1102,5</v>
      </c>
      <c r="J6" s="10" t="str">
        <f>"1329,3734"</f>
        <v>1329,3734</v>
      </c>
      <c r="K6" s="7" t="s">
        <v>3960</v>
      </c>
    </row>
    <row r="7" spans="1:11">
      <c r="B7" s="5" t="s">
        <v>40</v>
      </c>
    </row>
    <row r="8" spans="1:11" ht="15.95">
      <c r="A8" s="102" t="s">
        <v>241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1">
      <c r="A9" s="10" t="s">
        <v>15</v>
      </c>
      <c r="B9" s="7" t="s">
        <v>3961</v>
      </c>
      <c r="C9" s="7" t="s">
        <v>3962</v>
      </c>
      <c r="D9" s="7" t="s">
        <v>3963</v>
      </c>
      <c r="E9" s="7" t="str">
        <f>"0,9785"</f>
        <v>0,9785</v>
      </c>
      <c r="F9" s="7" t="s">
        <v>2673</v>
      </c>
      <c r="G9" s="10" t="s">
        <v>48</v>
      </c>
      <c r="H9" s="27">
        <v>24</v>
      </c>
      <c r="I9" s="41" t="str">
        <f>"1500,0"</f>
        <v>1500,0</v>
      </c>
      <c r="J9" s="10" t="str">
        <f>"1530,7850"</f>
        <v>1530,7850</v>
      </c>
      <c r="K9" s="7" t="s">
        <v>3964</v>
      </c>
    </row>
    <row r="10" spans="1:11">
      <c r="B10" s="5" t="s">
        <v>40</v>
      </c>
    </row>
    <row r="11" spans="1:11" ht="15.95">
      <c r="A11" s="102" t="s">
        <v>301</v>
      </c>
      <c r="B11" s="102"/>
      <c r="C11" s="102"/>
      <c r="D11" s="102"/>
      <c r="E11" s="102"/>
      <c r="F11" s="102"/>
      <c r="G11" s="102"/>
      <c r="H11" s="102"/>
      <c r="I11" s="102"/>
      <c r="J11" s="102"/>
    </row>
    <row r="12" spans="1:11">
      <c r="A12" s="10" t="s">
        <v>15</v>
      </c>
      <c r="B12" s="7" t="s">
        <v>3965</v>
      </c>
      <c r="C12" s="7" t="s">
        <v>190</v>
      </c>
      <c r="D12" s="7" t="s">
        <v>331</v>
      </c>
      <c r="E12" s="7" t="str">
        <f>"0,8361"</f>
        <v>0,8361</v>
      </c>
      <c r="F12" s="7" t="s">
        <v>91</v>
      </c>
      <c r="G12" s="10" t="s">
        <v>80</v>
      </c>
      <c r="H12" s="27">
        <v>19</v>
      </c>
      <c r="I12" s="41" t="str">
        <f>"1425,0"</f>
        <v>1425,0</v>
      </c>
      <c r="J12" s="10" t="str">
        <f>"1203,3569"</f>
        <v>1203,3569</v>
      </c>
      <c r="K12" s="7" t="s">
        <v>158</v>
      </c>
    </row>
    <row r="13" spans="1:11">
      <c r="B13" s="5" t="s">
        <v>40</v>
      </c>
    </row>
    <row r="14" spans="1:11" ht="15.95">
      <c r="A14" s="102" t="s">
        <v>195</v>
      </c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1">
      <c r="A15" s="13" t="s">
        <v>15</v>
      </c>
      <c r="B15" s="11" t="s">
        <v>3966</v>
      </c>
      <c r="C15" s="11" t="s">
        <v>3967</v>
      </c>
      <c r="D15" s="11" t="s">
        <v>231</v>
      </c>
      <c r="E15" s="11" t="str">
        <f>"0,8538"</f>
        <v>0,8538</v>
      </c>
      <c r="F15" s="11" t="s">
        <v>1041</v>
      </c>
      <c r="G15" s="13" t="s">
        <v>26</v>
      </c>
      <c r="H15" s="28">
        <v>24</v>
      </c>
      <c r="I15" s="37" t="str">
        <f>"1440,0"</f>
        <v>1440,0</v>
      </c>
      <c r="J15" s="13" t="str">
        <f>"1229,4720"</f>
        <v>1229,4720</v>
      </c>
      <c r="K15" s="11" t="s">
        <v>3968</v>
      </c>
    </row>
    <row r="16" spans="1:11">
      <c r="A16" s="17" t="s">
        <v>15</v>
      </c>
      <c r="B16" s="14" t="s">
        <v>3066</v>
      </c>
      <c r="C16" s="14" t="s">
        <v>3067</v>
      </c>
      <c r="D16" s="14" t="s">
        <v>212</v>
      </c>
      <c r="E16" s="14" t="str">
        <f>"0,8440"</f>
        <v>0,8440</v>
      </c>
      <c r="F16" s="14" t="s">
        <v>1694</v>
      </c>
      <c r="G16" s="17" t="s">
        <v>26</v>
      </c>
      <c r="H16" s="43">
        <v>21</v>
      </c>
      <c r="I16" s="40" t="str">
        <f>"1260,0"</f>
        <v>1260,0</v>
      </c>
      <c r="J16" s="17" t="str">
        <f>"1063,3770"</f>
        <v>1063,3770</v>
      </c>
      <c r="K16" s="14" t="s">
        <v>158</v>
      </c>
    </row>
    <row r="17" spans="1:11">
      <c r="A17" s="20" t="s">
        <v>92</v>
      </c>
      <c r="B17" s="18" t="s">
        <v>3072</v>
      </c>
      <c r="C17" s="18" t="s">
        <v>3969</v>
      </c>
      <c r="D17" s="18" t="s">
        <v>198</v>
      </c>
      <c r="E17" s="18" t="str">
        <f>"0,8411"</f>
        <v>0,8411</v>
      </c>
      <c r="F17" s="18" t="s">
        <v>3970</v>
      </c>
      <c r="G17" s="20" t="s">
        <v>26</v>
      </c>
      <c r="H17" s="26">
        <v>6</v>
      </c>
      <c r="I17" s="38">
        <v>0</v>
      </c>
      <c r="J17" s="20" t="str">
        <f>"0,0000"</f>
        <v>0,0000</v>
      </c>
      <c r="K17" s="18" t="s">
        <v>158</v>
      </c>
    </row>
    <row r="18" spans="1:11">
      <c r="B18" s="5" t="s">
        <v>40</v>
      </c>
    </row>
    <row r="19" spans="1:11" ht="15.95">
      <c r="A19" s="102" t="s">
        <v>241</v>
      </c>
      <c r="B19" s="102"/>
      <c r="C19" s="102"/>
      <c r="D19" s="102"/>
      <c r="E19" s="102"/>
      <c r="F19" s="102"/>
      <c r="G19" s="102"/>
      <c r="H19" s="102"/>
      <c r="I19" s="102"/>
      <c r="J19" s="102"/>
    </row>
    <row r="20" spans="1:11">
      <c r="A20" s="13" t="s">
        <v>15</v>
      </c>
      <c r="B20" s="11" t="s">
        <v>3971</v>
      </c>
      <c r="C20" s="11" t="s">
        <v>3972</v>
      </c>
      <c r="D20" s="11" t="s">
        <v>3973</v>
      </c>
      <c r="E20" s="11" t="str">
        <f>"0,7930"</f>
        <v>0,7930</v>
      </c>
      <c r="F20" s="11" t="s">
        <v>91</v>
      </c>
      <c r="G20" s="13" t="s">
        <v>32</v>
      </c>
      <c r="H20" s="28">
        <v>23</v>
      </c>
      <c r="I20" s="37" t="str">
        <f>"1495,0"</f>
        <v>1495,0</v>
      </c>
      <c r="J20" s="13" t="str">
        <f>"1185,6097"</f>
        <v>1185,6097</v>
      </c>
      <c r="K20" s="11" t="s">
        <v>158</v>
      </c>
    </row>
    <row r="21" spans="1:11">
      <c r="A21" s="17" t="s">
        <v>15</v>
      </c>
      <c r="B21" s="14" t="s">
        <v>3974</v>
      </c>
      <c r="C21" s="14" t="s">
        <v>3975</v>
      </c>
      <c r="D21" s="14" t="s">
        <v>3077</v>
      </c>
      <c r="E21" s="14" t="str">
        <f>"0,7818"</f>
        <v>0,7818</v>
      </c>
      <c r="F21" s="14" t="s">
        <v>3976</v>
      </c>
      <c r="G21" s="17" t="s">
        <v>32</v>
      </c>
      <c r="H21" s="43">
        <v>60</v>
      </c>
      <c r="I21" s="40" t="str">
        <f>"3900,0"</f>
        <v>3900,0</v>
      </c>
      <c r="J21" s="17" t="str">
        <f>"3049,2149"</f>
        <v>3049,2149</v>
      </c>
      <c r="K21" s="14" t="s">
        <v>3977</v>
      </c>
    </row>
    <row r="22" spans="1:11">
      <c r="A22" s="17" t="s">
        <v>62</v>
      </c>
      <c r="B22" s="14" t="s">
        <v>3978</v>
      </c>
      <c r="C22" s="14" t="s">
        <v>3979</v>
      </c>
      <c r="D22" s="14" t="s">
        <v>3980</v>
      </c>
      <c r="E22" s="14" t="str">
        <f>"0,7489"</f>
        <v>0,7489</v>
      </c>
      <c r="F22" s="14" t="s">
        <v>350</v>
      </c>
      <c r="G22" s="17" t="s">
        <v>57</v>
      </c>
      <c r="H22" s="43">
        <v>33</v>
      </c>
      <c r="I22" s="40" t="str">
        <f>"2227,5"</f>
        <v>2227,5</v>
      </c>
      <c r="J22" s="17" t="str">
        <f>"1668,1080"</f>
        <v>1668,1080</v>
      </c>
      <c r="K22" s="14" t="s">
        <v>158</v>
      </c>
    </row>
    <row r="23" spans="1:11">
      <c r="A23" s="20" t="s">
        <v>15</v>
      </c>
      <c r="B23" s="18" t="s">
        <v>2467</v>
      </c>
      <c r="C23" s="18" t="s">
        <v>3867</v>
      </c>
      <c r="D23" s="18" t="s">
        <v>2469</v>
      </c>
      <c r="E23" s="18" t="str">
        <f>"0,7551"</f>
        <v>0,7551</v>
      </c>
      <c r="F23" s="18" t="s">
        <v>2470</v>
      </c>
      <c r="G23" s="20" t="s">
        <v>57</v>
      </c>
      <c r="H23" s="26">
        <v>33</v>
      </c>
      <c r="I23" s="38" t="str">
        <f>"2227,5"</f>
        <v>2227,5</v>
      </c>
      <c r="J23" s="20" t="str">
        <f>"2438,8787"</f>
        <v>2438,8787</v>
      </c>
      <c r="K23" s="18" t="s">
        <v>2471</v>
      </c>
    </row>
    <row r="24" spans="1:11">
      <c r="B24" s="5" t="s">
        <v>40</v>
      </c>
    </row>
    <row r="25" spans="1:11" ht="15.95">
      <c r="A25" s="102" t="s">
        <v>301</v>
      </c>
      <c r="B25" s="102"/>
      <c r="C25" s="102"/>
      <c r="D25" s="102"/>
      <c r="E25" s="102"/>
      <c r="F25" s="102"/>
      <c r="G25" s="102"/>
      <c r="H25" s="102"/>
      <c r="I25" s="102"/>
      <c r="J25" s="102"/>
    </row>
    <row r="26" spans="1:11">
      <c r="A26" s="13" t="s">
        <v>15</v>
      </c>
      <c r="B26" s="11" t="s">
        <v>3981</v>
      </c>
      <c r="C26" s="11" t="s">
        <v>3982</v>
      </c>
      <c r="D26" s="11" t="s">
        <v>2481</v>
      </c>
      <c r="E26" s="11" t="str">
        <f>"0,7314"</f>
        <v>0,7314</v>
      </c>
      <c r="F26" s="11" t="s">
        <v>2321</v>
      </c>
      <c r="G26" s="13" t="s">
        <v>33</v>
      </c>
      <c r="H26" s="28">
        <v>80</v>
      </c>
      <c r="I26" s="37" t="str">
        <f>"5600,0"</f>
        <v>5600,0</v>
      </c>
      <c r="J26" s="13" t="str">
        <f>"4095,5600"</f>
        <v>4095,5600</v>
      </c>
      <c r="K26" s="11" t="s">
        <v>158</v>
      </c>
    </row>
    <row r="27" spans="1:11">
      <c r="A27" s="17" t="s">
        <v>62</v>
      </c>
      <c r="B27" s="14" t="s">
        <v>3983</v>
      </c>
      <c r="C27" s="14" t="s">
        <v>3984</v>
      </c>
      <c r="D27" s="14" t="s">
        <v>3985</v>
      </c>
      <c r="E27" s="14" t="str">
        <f>"0,7271"</f>
        <v>0,7271</v>
      </c>
      <c r="F27" s="14" t="s">
        <v>66</v>
      </c>
      <c r="G27" s="17" t="s">
        <v>33</v>
      </c>
      <c r="H27" s="43">
        <v>48</v>
      </c>
      <c r="I27" s="40" t="str">
        <f>"3360,0"</f>
        <v>3360,0</v>
      </c>
      <c r="J27" s="17" t="str">
        <f>"2443,0560"</f>
        <v>2443,0560</v>
      </c>
      <c r="K27" s="14" t="s">
        <v>158</v>
      </c>
    </row>
    <row r="28" spans="1:11">
      <c r="A28" s="17" t="s">
        <v>73</v>
      </c>
      <c r="B28" s="14" t="s">
        <v>3986</v>
      </c>
      <c r="C28" s="14" t="s">
        <v>1783</v>
      </c>
      <c r="D28" s="14" t="s">
        <v>446</v>
      </c>
      <c r="E28" s="14" t="str">
        <f>"0,7027"</f>
        <v>0,7027</v>
      </c>
      <c r="F28" s="14" t="s">
        <v>1041</v>
      </c>
      <c r="G28" s="17" t="s">
        <v>80</v>
      </c>
      <c r="H28" s="43">
        <v>17</v>
      </c>
      <c r="I28" s="40" t="str">
        <f>"1275,0"</f>
        <v>1275,0</v>
      </c>
      <c r="J28" s="17" t="str">
        <f>"895,8788"</f>
        <v>895,8788</v>
      </c>
      <c r="K28" s="14" t="s">
        <v>3968</v>
      </c>
    </row>
    <row r="29" spans="1:11">
      <c r="A29" s="20" t="s">
        <v>15</v>
      </c>
      <c r="B29" s="18" t="s">
        <v>3983</v>
      </c>
      <c r="C29" s="18" t="s">
        <v>3987</v>
      </c>
      <c r="D29" s="18" t="s">
        <v>3985</v>
      </c>
      <c r="E29" s="18" t="str">
        <f>"0,7271"</f>
        <v>0,7271</v>
      </c>
      <c r="F29" s="18" t="s">
        <v>66</v>
      </c>
      <c r="G29" s="20" t="s">
        <v>33</v>
      </c>
      <c r="H29" s="26">
        <v>48</v>
      </c>
      <c r="I29" s="38" t="str">
        <f>"3360,0"</f>
        <v>3360,0</v>
      </c>
      <c r="J29" s="20" t="str">
        <f>"2467,4866"</f>
        <v>2467,4866</v>
      </c>
      <c r="K29" s="18" t="s">
        <v>158</v>
      </c>
    </row>
    <row r="30" spans="1:11">
      <c r="B30" s="5" t="s">
        <v>40</v>
      </c>
    </row>
    <row r="31" spans="1:11" ht="15.95">
      <c r="A31" s="102" t="s">
        <v>334</v>
      </c>
      <c r="B31" s="102"/>
      <c r="C31" s="102"/>
      <c r="D31" s="102"/>
      <c r="E31" s="102"/>
      <c r="F31" s="102"/>
      <c r="G31" s="102"/>
      <c r="H31" s="102"/>
      <c r="I31" s="102"/>
      <c r="J31" s="102"/>
    </row>
    <row r="32" spans="1:11">
      <c r="A32" s="13" t="s">
        <v>15</v>
      </c>
      <c r="B32" s="11" t="s">
        <v>3127</v>
      </c>
      <c r="C32" s="11" t="s">
        <v>3988</v>
      </c>
      <c r="D32" s="11" t="s">
        <v>554</v>
      </c>
      <c r="E32" s="11" t="str">
        <f>"0,6487"</f>
        <v>0,6487</v>
      </c>
      <c r="F32" s="11" t="s">
        <v>3129</v>
      </c>
      <c r="G32" s="13" t="s">
        <v>146</v>
      </c>
      <c r="H32" s="28">
        <v>24</v>
      </c>
      <c r="I32" s="37" t="str">
        <f>"1980,0"</f>
        <v>1980,0</v>
      </c>
      <c r="J32" s="13" t="str">
        <f>"1284,4260"</f>
        <v>1284,4260</v>
      </c>
      <c r="K32" s="11" t="s">
        <v>3130</v>
      </c>
    </row>
    <row r="33" spans="1:11">
      <c r="A33" s="17" t="s">
        <v>15</v>
      </c>
      <c r="B33" s="14" t="s">
        <v>3660</v>
      </c>
      <c r="C33" s="14" t="s">
        <v>3661</v>
      </c>
      <c r="D33" s="14" t="s">
        <v>590</v>
      </c>
      <c r="E33" s="14" t="str">
        <f>"0,6471"</f>
        <v>0,6471</v>
      </c>
      <c r="F33" s="14" t="s">
        <v>3662</v>
      </c>
      <c r="G33" s="17" t="s">
        <v>146</v>
      </c>
      <c r="H33" s="43">
        <v>79</v>
      </c>
      <c r="I33" s="40" t="str">
        <f>"6517,5"</f>
        <v>6517,5</v>
      </c>
      <c r="J33" s="17" t="str">
        <f>"4217,8000"</f>
        <v>4217,8000</v>
      </c>
      <c r="K33" s="14" t="s">
        <v>158</v>
      </c>
    </row>
    <row r="34" spans="1:11">
      <c r="A34" s="17" t="s">
        <v>62</v>
      </c>
      <c r="B34" s="14" t="s">
        <v>3880</v>
      </c>
      <c r="C34" s="14" t="s">
        <v>3881</v>
      </c>
      <c r="D34" s="14" t="s">
        <v>3882</v>
      </c>
      <c r="E34" s="14" t="str">
        <f>"0,6589"</f>
        <v>0,6589</v>
      </c>
      <c r="F34" s="14" t="s">
        <v>3883</v>
      </c>
      <c r="G34" s="17" t="s">
        <v>81</v>
      </c>
      <c r="H34" s="43">
        <v>47</v>
      </c>
      <c r="I34" s="40" t="str">
        <f>"3760,0"</f>
        <v>3760,0</v>
      </c>
      <c r="J34" s="17" t="str">
        <f>"2477,6519"</f>
        <v>2477,6519</v>
      </c>
      <c r="K34" s="14" t="s">
        <v>3815</v>
      </c>
    </row>
    <row r="35" spans="1:11">
      <c r="A35" s="17" t="s">
        <v>73</v>
      </c>
      <c r="B35" s="14" t="s">
        <v>3989</v>
      </c>
      <c r="C35" s="14" t="s">
        <v>3990</v>
      </c>
      <c r="D35" s="14" t="s">
        <v>3991</v>
      </c>
      <c r="E35" s="14" t="str">
        <f>"0,6743"</f>
        <v>0,6743</v>
      </c>
      <c r="F35" s="14" t="s">
        <v>633</v>
      </c>
      <c r="G35" s="17" t="s">
        <v>104</v>
      </c>
      <c r="H35" s="43">
        <v>37</v>
      </c>
      <c r="I35" s="40" t="str">
        <f>"2867,5"</f>
        <v>2867,5</v>
      </c>
      <c r="J35" s="17" t="str">
        <f>"1933,4119"</f>
        <v>1933,4119</v>
      </c>
      <c r="K35" s="14" t="s">
        <v>158</v>
      </c>
    </row>
    <row r="36" spans="1:11">
      <c r="A36" s="17" t="s">
        <v>75</v>
      </c>
      <c r="B36" s="14" t="s">
        <v>3992</v>
      </c>
      <c r="C36" s="14" t="s">
        <v>3993</v>
      </c>
      <c r="D36" s="14" t="s">
        <v>3890</v>
      </c>
      <c r="E36" s="14" t="str">
        <f>"0,6761"</f>
        <v>0,6761</v>
      </c>
      <c r="F36" s="14" t="s">
        <v>720</v>
      </c>
      <c r="G36" s="17" t="s">
        <v>104</v>
      </c>
      <c r="H36" s="43">
        <v>35</v>
      </c>
      <c r="I36" s="40" t="str">
        <f>"2712,5"</f>
        <v>2712,5</v>
      </c>
      <c r="J36" s="17" t="str">
        <f>"1833,9213"</f>
        <v>1833,9213</v>
      </c>
      <c r="K36" s="14" t="s">
        <v>3994</v>
      </c>
    </row>
    <row r="37" spans="1:11">
      <c r="A37" s="17" t="s">
        <v>15</v>
      </c>
      <c r="B37" s="14" t="s">
        <v>3989</v>
      </c>
      <c r="C37" s="14" t="s">
        <v>3995</v>
      </c>
      <c r="D37" s="14" t="s">
        <v>3991</v>
      </c>
      <c r="E37" s="14" t="str">
        <f>"0,6743"</f>
        <v>0,6743</v>
      </c>
      <c r="F37" s="14" t="s">
        <v>633</v>
      </c>
      <c r="G37" s="17" t="s">
        <v>104</v>
      </c>
      <c r="H37" s="43">
        <v>37</v>
      </c>
      <c r="I37" s="40" t="str">
        <f>"2867,5"</f>
        <v>2867,5</v>
      </c>
      <c r="J37" s="17" t="str">
        <f>"1993,3477"</f>
        <v>1993,3477</v>
      </c>
      <c r="K37" s="14" t="s">
        <v>158</v>
      </c>
    </row>
    <row r="38" spans="1:11">
      <c r="A38" s="17" t="s">
        <v>15</v>
      </c>
      <c r="B38" s="14" t="s">
        <v>3897</v>
      </c>
      <c r="C38" s="14" t="s">
        <v>3898</v>
      </c>
      <c r="D38" s="14" t="s">
        <v>521</v>
      </c>
      <c r="E38" s="14" t="str">
        <f>"0,6503"</f>
        <v>0,6503</v>
      </c>
      <c r="F38" s="14" t="s">
        <v>1279</v>
      </c>
      <c r="G38" s="17" t="s">
        <v>146</v>
      </c>
      <c r="H38" s="43">
        <v>35</v>
      </c>
      <c r="I38" s="40" t="str">
        <f>"2887,5"</f>
        <v>2887,5</v>
      </c>
      <c r="J38" s="17" t="str">
        <f>"2469,0400"</f>
        <v>2469,0400</v>
      </c>
      <c r="K38" s="14" t="s">
        <v>158</v>
      </c>
    </row>
    <row r="39" spans="1:11">
      <c r="A39" s="20" t="s">
        <v>62</v>
      </c>
      <c r="B39" s="18" t="s">
        <v>3163</v>
      </c>
      <c r="C39" s="18" t="s">
        <v>3164</v>
      </c>
      <c r="D39" s="18" t="s">
        <v>1685</v>
      </c>
      <c r="E39" s="18" t="str">
        <f>"0,6482"</f>
        <v>0,6482</v>
      </c>
      <c r="F39" s="18" t="s">
        <v>3165</v>
      </c>
      <c r="G39" s="20" t="s">
        <v>146</v>
      </c>
      <c r="H39" s="26">
        <v>26</v>
      </c>
      <c r="I39" s="38" t="str">
        <f>"2145,0"</f>
        <v>2145,0</v>
      </c>
      <c r="J39" s="20" t="str">
        <f>"1732,4246"</f>
        <v>1732,4246</v>
      </c>
      <c r="K39" s="18" t="s">
        <v>3166</v>
      </c>
    </row>
    <row r="40" spans="1:11">
      <c r="B40" s="5" t="s">
        <v>40</v>
      </c>
    </row>
    <row r="41" spans="1:11" ht="15.95">
      <c r="A41" s="102" t="s">
        <v>598</v>
      </c>
      <c r="B41" s="102"/>
      <c r="C41" s="102"/>
      <c r="D41" s="102"/>
      <c r="E41" s="102"/>
      <c r="F41" s="102"/>
      <c r="G41" s="102"/>
      <c r="H41" s="102"/>
      <c r="I41" s="102"/>
      <c r="J41" s="102"/>
    </row>
    <row r="42" spans="1:11">
      <c r="A42" s="13" t="s">
        <v>15</v>
      </c>
      <c r="B42" s="11" t="s">
        <v>3180</v>
      </c>
      <c r="C42" s="11" t="s">
        <v>3996</v>
      </c>
      <c r="D42" s="11" t="s">
        <v>632</v>
      </c>
      <c r="E42" s="11" t="str">
        <f>"0,6165"</f>
        <v>0,6165</v>
      </c>
      <c r="F42" s="11" t="s">
        <v>2963</v>
      </c>
      <c r="G42" s="13" t="s">
        <v>36</v>
      </c>
      <c r="H42" s="28">
        <v>21</v>
      </c>
      <c r="I42" s="37" t="str">
        <f>"1890,0"</f>
        <v>1890,0</v>
      </c>
      <c r="J42" s="13" t="str">
        <f>"1165,0905"</f>
        <v>1165,0905</v>
      </c>
      <c r="K42" s="11" t="s">
        <v>158</v>
      </c>
    </row>
    <row r="43" spans="1:11">
      <c r="A43" s="17" t="s">
        <v>15</v>
      </c>
      <c r="B43" s="14" t="s">
        <v>3997</v>
      </c>
      <c r="C43" s="14" t="s">
        <v>3998</v>
      </c>
      <c r="D43" s="14" t="s">
        <v>3999</v>
      </c>
      <c r="E43" s="14" t="str">
        <f>"0,6326"</f>
        <v>0,6326</v>
      </c>
      <c r="F43" s="14" t="s">
        <v>91</v>
      </c>
      <c r="G43" s="17" t="s">
        <v>67</v>
      </c>
      <c r="H43" s="43">
        <v>45</v>
      </c>
      <c r="I43" s="40" t="str">
        <f>"3825,0"</f>
        <v>3825,0</v>
      </c>
      <c r="J43" s="17" t="str">
        <f>"2419,6950"</f>
        <v>2419,6950</v>
      </c>
      <c r="K43" s="14" t="s">
        <v>158</v>
      </c>
    </row>
    <row r="44" spans="1:11">
      <c r="A44" s="17" t="s">
        <v>62</v>
      </c>
      <c r="B44" s="14" t="s">
        <v>3670</v>
      </c>
      <c r="C44" s="14" t="s">
        <v>3671</v>
      </c>
      <c r="D44" s="14" t="s">
        <v>1499</v>
      </c>
      <c r="E44" s="14" t="str">
        <f>"0,6247"</f>
        <v>0,6247</v>
      </c>
      <c r="F44" s="14" t="s">
        <v>4000</v>
      </c>
      <c r="G44" s="17" t="s">
        <v>120</v>
      </c>
      <c r="H44" s="43">
        <v>35</v>
      </c>
      <c r="I44" s="40" t="str">
        <f>"3062,5"</f>
        <v>3062,5</v>
      </c>
      <c r="J44" s="17" t="str">
        <f>"1912,9906"</f>
        <v>1912,9906</v>
      </c>
      <c r="K44" s="14" t="s">
        <v>158</v>
      </c>
    </row>
    <row r="45" spans="1:11">
      <c r="A45" s="17" t="s">
        <v>73</v>
      </c>
      <c r="B45" s="14" t="s">
        <v>4001</v>
      </c>
      <c r="C45" s="14" t="s">
        <v>4002</v>
      </c>
      <c r="D45" s="14" t="s">
        <v>2067</v>
      </c>
      <c r="E45" s="14" t="str">
        <f>"0,6222"</f>
        <v>0,6222</v>
      </c>
      <c r="F45" s="14" t="s">
        <v>1300</v>
      </c>
      <c r="G45" s="17" t="s">
        <v>120</v>
      </c>
      <c r="H45" s="43">
        <v>34</v>
      </c>
      <c r="I45" s="40" t="str">
        <f>"2975,0"</f>
        <v>2975,0</v>
      </c>
      <c r="J45" s="17" t="str">
        <f>"1850,8963"</f>
        <v>1850,8963</v>
      </c>
      <c r="K45" s="14" t="s">
        <v>158</v>
      </c>
    </row>
    <row r="46" spans="1:11">
      <c r="A46" s="17" t="s">
        <v>75</v>
      </c>
      <c r="B46" s="14" t="s">
        <v>4003</v>
      </c>
      <c r="C46" s="14" t="s">
        <v>4004</v>
      </c>
      <c r="D46" s="14" t="s">
        <v>3184</v>
      </c>
      <c r="E46" s="14" t="str">
        <f>"0,6238"</f>
        <v>0,6238</v>
      </c>
      <c r="F46" s="14" t="s">
        <v>1041</v>
      </c>
      <c r="G46" s="17" t="s">
        <v>120</v>
      </c>
      <c r="H46" s="43">
        <v>32</v>
      </c>
      <c r="I46" s="40" t="str">
        <f>"2800,0"</f>
        <v>2800,0</v>
      </c>
      <c r="J46" s="17" t="str">
        <f>"1746,7800"</f>
        <v>1746,7800</v>
      </c>
      <c r="K46" s="14" t="s">
        <v>2305</v>
      </c>
    </row>
    <row r="47" spans="1:11">
      <c r="A47" s="17" t="s">
        <v>87</v>
      </c>
      <c r="B47" s="14" t="s">
        <v>4005</v>
      </c>
      <c r="C47" s="14" t="s">
        <v>4006</v>
      </c>
      <c r="D47" s="14" t="s">
        <v>4007</v>
      </c>
      <c r="E47" s="14" t="str">
        <f>"0,6340"</f>
        <v>0,6340</v>
      </c>
      <c r="F47" s="14" t="s">
        <v>91</v>
      </c>
      <c r="G47" s="17" t="s">
        <v>67</v>
      </c>
      <c r="H47" s="43">
        <v>32</v>
      </c>
      <c r="I47" s="40" t="str">
        <f>"2720,0"</f>
        <v>2720,0</v>
      </c>
      <c r="J47" s="17" t="str">
        <f>"1724,4800"</f>
        <v>1724,4800</v>
      </c>
      <c r="K47" s="14" t="s">
        <v>158</v>
      </c>
    </row>
    <row r="48" spans="1:11">
      <c r="A48" s="17" t="s">
        <v>168</v>
      </c>
      <c r="B48" s="14" t="s">
        <v>3186</v>
      </c>
      <c r="C48" s="14" t="s">
        <v>3187</v>
      </c>
      <c r="D48" s="14" t="s">
        <v>2041</v>
      </c>
      <c r="E48" s="14" t="str">
        <f>"0,6133"</f>
        <v>0,6133</v>
      </c>
      <c r="F48" s="14" t="s">
        <v>1218</v>
      </c>
      <c r="G48" s="17" t="s">
        <v>36</v>
      </c>
      <c r="H48" s="43">
        <v>31</v>
      </c>
      <c r="I48" s="40" t="str">
        <f>"2790,0"</f>
        <v>2790,0</v>
      </c>
      <c r="J48" s="17" t="str">
        <f>"1711,2464"</f>
        <v>1711,2464</v>
      </c>
      <c r="K48" s="14" t="s">
        <v>158</v>
      </c>
    </row>
    <row r="49" spans="1:11">
      <c r="A49" s="17" t="s">
        <v>172</v>
      </c>
      <c r="B49" s="14" t="s">
        <v>4008</v>
      </c>
      <c r="C49" s="14" t="s">
        <v>4009</v>
      </c>
      <c r="D49" s="14" t="s">
        <v>1118</v>
      </c>
      <c r="E49" s="14" t="str">
        <f>"0,6177"</f>
        <v>0,6177</v>
      </c>
      <c r="F49" s="14" t="s">
        <v>1897</v>
      </c>
      <c r="G49" s="17" t="s">
        <v>36</v>
      </c>
      <c r="H49" s="43">
        <v>27</v>
      </c>
      <c r="I49" s="40" t="str">
        <f>"2430,0"</f>
        <v>2430,0</v>
      </c>
      <c r="J49" s="17" t="str">
        <f>"1501,0110"</f>
        <v>1501,0110</v>
      </c>
      <c r="K49" s="14" t="s">
        <v>158</v>
      </c>
    </row>
    <row r="50" spans="1:11">
      <c r="A50" s="17" t="s">
        <v>15</v>
      </c>
      <c r="B50" s="14" t="s">
        <v>3201</v>
      </c>
      <c r="C50" s="14" t="s">
        <v>3202</v>
      </c>
      <c r="D50" s="14" t="s">
        <v>615</v>
      </c>
      <c r="E50" s="14" t="str">
        <f>"0,6230"</f>
        <v>0,6230</v>
      </c>
      <c r="F50" s="14" t="s">
        <v>2904</v>
      </c>
      <c r="G50" s="17" t="s">
        <v>120</v>
      </c>
      <c r="H50" s="43">
        <v>35</v>
      </c>
      <c r="I50" s="40" t="str">
        <f>"3062,5"</f>
        <v>3062,5</v>
      </c>
      <c r="J50" s="17" t="str">
        <f>"2012,8741"</f>
        <v>2012,8741</v>
      </c>
      <c r="K50" s="14" t="s">
        <v>158</v>
      </c>
    </row>
    <row r="51" spans="1:11">
      <c r="A51" s="17" t="s">
        <v>62</v>
      </c>
      <c r="B51" s="14" t="s">
        <v>4010</v>
      </c>
      <c r="C51" s="14" t="s">
        <v>4011</v>
      </c>
      <c r="D51" s="14" t="s">
        <v>4012</v>
      </c>
      <c r="E51" s="14" t="str">
        <f>"0,6140"</f>
        <v>0,6140</v>
      </c>
      <c r="F51" s="14" t="s">
        <v>91</v>
      </c>
      <c r="G51" s="17" t="s">
        <v>36</v>
      </c>
      <c r="H51" s="43">
        <v>30</v>
      </c>
      <c r="I51" s="40" t="str">
        <f>"2700,0"</f>
        <v>2700,0</v>
      </c>
      <c r="J51" s="17" t="str">
        <f>"1793,5936"</f>
        <v>1793,5936</v>
      </c>
      <c r="K51" s="14" t="s">
        <v>4013</v>
      </c>
    </row>
    <row r="52" spans="1:11">
      <c r="A52" s="17" t="s">
        <v>15</v>
      </c>
      <c r="B52" s="14" t="s">
        <v>4014</v>
      </c>
      <c r="C52" s="14" t="s">
        <v>4015</v>
      </c>
      <c r="D52" s="14" t="s">
        <v>3733</v>
      </c>
      <c r="E52" s="14" t="str">
        <f>"0,6130"</f>
        <v>0,6130</v>
      </c>
      <c r="F52" s="14" t="s">
        <v>3825</v>
      </c>
      <c r="G52" s="17" t="s">
        <v>36</v>
      </c>
      <c r="H52" s="43">
        <v>55</v>
      </c>
      <c r="I52" s="40" t="str">
        <f>"4950,0"</f>
        <v>4950,0</v>
      </c>
      <c r="J52" s="17" t="str">
        <f>"3592,6703"</f>
        <v>3592,6703</v>
      </c>
      <c r="K52" s="14" t="s">
        <v>158</v>
      </c>
    </row>
    <row r="53" spans="1:11">
      <c r="A53" s="17" t="s">
        <v>62</v>
      </c>
      <c r="B53" s="14" t="s">
        <v>3208</v>
      </c>
      <c r="C53" s="14" t="s">
        <v>3209</v>
      </c>
      <c r="D53" s="14" t="s">
        <v>3210</v>
      </c>
      <c r="E53" s="14" t="str">
        <f>"0,6331"</f>
        <v>0,6331</v>
      </c>
      <c r="F53" s="14" t="s">
        <v>3211</v>
      </c>
      <c r="G53" s="17" t="s">
        <v>67</v>
      </c>
      <c r="H53" s="43">
        <v>23</v>
      </c>
      <c r="I53" s="40" t="str">
        <f>"1955,0"</f>
        <v>1955,0</v>
      </c>
      <c r="J53" s="17" t="str">
        <f>"1490,2034"</f>
        <v>1490,2034</v>
      </c>
      <c r="K53" s="14" t="s">
        <v>158</v>
      </c>
    </row>
    <row r="54" spans="1:11">
      <c r="A54" s="17" t="s">
        <v>15</v>
      </c>
      <c r="B54" s="14" t="s">
        <v>3214</v>
      </c>
      <c r="C54" s="14" t="s">
        <v>4016</v>
      </c>
      <c r="D54" s="14" t="s">
        <v>1499</v>
      </c>
      <c r="E54" s="14" t="str">
        <f>"0,6247"</f>
        <v>0,6247</v>
      </c>
      <c r="F54" s="14" t="s">
        <v>2177</v>
      </c>
      <c r="G54" s="17" t="s">
        <v>120</v>
      </c>
      <c r="H54" s="43">
        <v>27</v>
      </c>
      <c r="I54" s="40" t="str">
        <f>"2362,5"</f>
        <v>2362,5</v>
      </c>
      <c r="J54" s="17" t="str">
        <f>"2184,0887"</f>
        <v>2184,0887</v>
      </c>
      <c r="K54" s="14" t="s">
        <v>3216</v>
      </c>
    </row>
    <row r="55" spans="1:11">
      <c r="A55" s="20" t="s">
        <v>92</v>
      </c>
      <c r="B55" s="18" t="s">
        <v>3212</v>
      </c>
      <c r="C55" s="18" t="s">
        <v>4017</v>
      </c>
      <c r="D55" s="18" t="s">
        <v>2041</v>
      </c>
      <c r="E55" s="18" t="str">
        <f>"0,6133"</f>
        <v>0,6133</v>
      </c>
      <c r="F55" s="18" t="s">
        <v>2049</v>
      </c>
      <c r="G55" s="22" t="s">
        <v>36</v>
      </c>
      <c r="H55" s="26"/>
      <c r="I55" s="38">
        <v>0</v>
      </c>
      <c r="J55" s="20" t="str">
        <f>"0,0000"</f>
        <v>0,0000</v>
      </c>
      <c r="K55" s="18" t="s">
        <v>158</v>
      </c>
    </row>
    <row r="56" spans="1:11">
      <c r="B56" s="5" t="s">
        <v>40</v>
      </c>
    </row>
    <row r="57" spans="1:11" ht="15.95">
      <c r="A57" s="102" t="s">
        <v>670</v>
      </c>
      <c r="B57" s="102"/>
      <c r="C57" s="102"/>
      <c r="D57" s="102"/>
      <c r="E57" s="102"/>
      <c r="F57" s="102"/>
      <c r="G57" s="102"/>
      <c r="H57" s="102"/>
      <c r="I57" s="102"/>
      <c r="J57" s="102"/>
    </row>
    <row r="58" spans="1:11">
      <c r="A58" s="13" t="s">
        <v>15</v>
      </c>
      <c r="B58" s="11" t="s">
        <v>4018</v>
      </c>
      <c r="C58" s="11" t="s">
        <v>4019</v>
      </c>
      <c r="D58" s="11" t="s">
        <v>1755</v>
      </c>
      <c r="E58" s="11" t="str">
        <f>"0,5870"</f>
        <v>0,5870</v>
      </c>
      <c r="F58" s="11" t="s">
        <v>4020</v>
      </c>
      <c r="G58" s="13" t="s">
        <v>38</v>
      </c>
      <c r="H58" s="28">
        <v>47</v>
      </c>
      <c r="I58" s="37" t="str">
        <f>"4700,0"</f>
        <v>4700,0</v>
      </c>
      <c r="J58" s="13" t="str">
        <f>"2758,6650"</f>
        <v>2758,6650</v>
      </c>
      <c r="K58" s="11" t="s">
        <v>158</v>
      </c>
    </row>
    <row r="59" spans="1:11">
      <c r="A59" s="17" t="s">
        <v>62</v>
      </c>
      <c r="B59" s="14" t="s">
        <v>4021</v>
      </c>
      <c r="C59" s="14" t="s">
        <v>4022</v>
      </c>
      <c r="D59" s="14" t="s">
        <v>1832</v>
      </c>
      <c r="E59" s="14" t="str">
        <f>"0,5833"</f>
        <v>0,5833</v>
      </c>
      <c r="F59" s="14" t="s">
        <v>690</v>
      </c>
      <c r="G59" s="17" t="s">
        <v>38</v>
      </c>
      <c r="H59" s="43">
        <v>46</v>
      </c>
      <c r="I59" s="40" t="str">
        <f>"4600,0"</f>
        <v>4600,0</v>
      </c>
      <c r="J59" s="17" t="str">
        <f>"2683,1800"</f>
        <v>2683,1800</v>
      </c>
      <c r="K59" s="14" t="s">
        <v>158</v>
      </c>
    </row>
    <row r="60" spans="1:11">
      <c r="A60" s="17" t="s">
        <v>73</v>
      </c>
      <c r="B60" s="14" t="s">
        <v>4023</v>
      </c>
      <c r="C60" s="14" t="s">
        <v>4024</v>
      </c>
      <c r="D60" s="14" t="s">
        <v>2753</v>
      </c>
      <c r="E60" s="14" t="str">
        <f>"0,5949"</f>
        <v>0,5949</v>
      </c>
      <c r="F60" s="14" t="s">
        <v>633</v>
      </c>
      <c r="G60" s="17" t="s">
        <v>37</v>
      </c>
      <c r="H60" s="43">
        <v>34</v>
      </c>
      <c r="I60" s="40" t="str">
        <f>"3230,0"</f>
        <v>3230,0</v>
      </c>
      <c r="J60" s="17" t="str">
        <f>"1921,5270"</f>
        <v>1921,5270</v>
      </c>
      <c r="K60" s="14" t="s">
        <v>158</v>
      </c>
    </row>
    <row r="61" spans="1:11">
      <c r="A61" s="17" t="s">
        <v>75</v>
      </c>
      <c r="B61" s="14" t="s">
        <v>3263</v>
      </c>
      <c r="C61" s="14" t="s">
        <v>969</v>
      </c>
      <c r="D61" s="14" t="s">
        <v>1791</v>
      </c>
      <c r="E61" s="14" t="str">
        <f>"0,5885"</f>
        <v>0,5885</v>
      </c>
      <c r="F61" s="14" t="s">
        <v>3264</v>
      </c>
      <c r="G61" s="17" t="s">
        <v>110</v>
      </c>
      <c r="H61" s="43">
        <v>33</v>
      </c>
      <c r="I61" s="40" t="str">
        <f>"3217,5"</f>
        <v>3217,5</v>
      </c>
      <c r="J61" s="17" t="str">
        <f>"1893,6595"</f>
        <v>1893,6595</v>
      </c>
      <c r="K61" s="14" t="s">
        <v>158</v>
      </c>
    </row>
    <row r="62" spans="1:11">
      <c r="A62" s="17" t="s">
        <v>87</v>
      </c>
      <c r="B62" s="14" t="s">
        <v>3237</v>
      </c>
      <c r="C62" s="14" t="s">
        <v>3238</v>
      </c>
      <c r="D62" s="14" t="s">
        <v>719</v>
      </c>
      <c r="E62" s="14" t="str">
        <f>"0,5878"</f>
        <v>0,5878</v>
      </c>
      <c r="F62" s="14" t="s">
        <v>96</v>
      </c>
      <c r="G62" s="17" t="s">
        <v>110</v>
      </c>
      <c r="H62" s="43">
        <v>32</v>
      </c>
      <c r="I62" s="40" t="str">
        <f>"3120,0"</f>
        <v>3120,0</v>
      </c>
      <c r="J62" s="17" t="str">
        <f>"1833,7801"</f>
        <v>1833,7801</v>
      </c>
      <c r="K62" s="14" t="s">
        <v>3239</v>
      </c>
    </row>
    <row r="63" spans="1:11">
      <c r="A63" s="17" t="s">
        <v>168</v>
      </c>
      <c r="B63" s="14" t="s">
        <v>3301</v>
      </c>
      <c r="C63" s="14" t="s">
        <v>3675</v>
      </c>
      <c r="D63" s="14" t="s">
        <v>681</v>
      </c>
      <c r="E63" s="14" t="str">
        <f>"0,5821"</f>
        <v>0,5821</v>
      </c>
      <c r="F63" s="14" t="s">
        <v>1238</v>
      </c>
      <c r="G63" s="17" t="s">
        <v>38</v>
      </c>
      <c r="H63" s="43">
        <v>28</v>
      </c>
      <c r="I63" s="40" t="str">
        <f>"2800,0"</f>
        <v>2800,0</v>
      </c>
      <c r="J63" s="17" t="str">
        <f>"1629,7401"</f>
        <v>1629,7401</v>
      </c>
      <c r="K63" s="14" t="s">
        <v>158</v>
      </c>
    </row>
    <row r="64" spans="1:11">
      <c r="A64" s="17" t="s">
        <v>172</v>
      </c>
      <c r="B64" s="14" t="s">
        <v>4025</v>
      </c>
      <c r="C64" s="14" t="s">
        <v>4026</v>
      </c>
      <c r="D64" s="14" t="s">
        <v>701</v>
      </c>
      <c r="E64" s="14" t="str">
        <f>"0,5882"</f>
        <v>0,5882</v>
      </c>
      <c r="F64" s="14" t="s">
        <v>2778</v>
      </c>
      <c r="G64" s="17" t="s">
        <v>110</v>
      </c>
      <c r="H64" s="43">
        <v>20</v>
      </c>
      <c r="I64" s="40" t="str">
        <f>"1950,0"</f>
        <v>1950,0</v>
      </c>
      <c r="J64" s="17" t="str">
        <f>"1147,0875"</f>
        <v>1147,0875</v>
      </c>
      <c r="K64" s="14" t="s">
        <v>158</v>
      </c>
    </row>
    <row r="65" spans="1:11">
      <c r="A65" s="17" t="s">
        <v>15</v>
      </c>
      <c r="B65" s="14" t="s">
        <v>4021</v>
      </c>
      <c r="C65" s="14" t="s">
        <v>4027</v>
      </c>
      <c r="D65" s="14" t="s">
        <v>1832</v>
      </c>
      <c r="E65" s="14" t="str">
        <f>"0,5833"</f>
        <v>0,5833</v>
      </c>
      <c r="F65" s="14" t="s">
        <v>690</v>
      </c>
      <c r="G65" s="17" t="s">
        <v>38</v>
      </c>
      <c r="H65" s="43">
        <v>46</v>
      </c>
      <c r="I65" s="40" t="str">
        <f>"4600,0"</f>
        <v>4600,0</v>
      </c>
      <c r="J65" s="17" t="str">
        <f>"2683,1800"</f>
        <v>2683,1800</v>
      </c>
      <c r="K65" s="14" t="s">
        <v>158</v>
      </c>
    </row>
    <row r="66" spans="1:11">
      <c r="A66" s="17" t="s">
        <v>62</v>
      </c>
      <c r="B66" s="14" t="s">
        <v>4028</v>
      </c>
      <c r="C66" s="14" t="s">
        <v>4029</v>
      </c>
      <c r="D66" s="14" t="s">
        <v>3690</v>
      </c>
      <c r="E66" s="14" t="str">
        <f>"0,6029"</f>
        <v>0,6029</v>
      </c>
      <c r="F66" s="14" t="s">
        <v>4030</v>
      </c>
      <c r="G66" s="17" t="s">
        <v>68</v>
      </c>
      <c r="H66" s="43">
        <v>36</v>
      </c>
      <c r="I66" s="40" t="str">
        <f>"3330,0"</f>
        <v>3330,0</v>
      </c>
      <c r="J66" s="17" t="str">
        <f>"2047,9799"</f>
        <v>2047,9799</v>
      </c>
      <c r="K66" s="14" t="s">
        <v>158</v>
      </c>
    </row>
    <row r="67" spans="1:11">
      <c r="A67" s="17" t="s">
        <v>73</v>
      </c>
      <c r="B67" s="14" t="s">
        <v>3301</v>
      </c>
      <c r="C67" s="14" t="s">
        <v>3302</v>
      </c>
      <c r="D67" s="14" t="s">
        <v>681</v>
      </c>
      <c r="E67" s="14" t="str">
        <f>"0,5821"</f>
        <v>0,5821</v>
      </c>
      <c r="F67" s="14" t="s">
        <v>1238</v>
      </c>
      <c r="G67" s="17" t="s">
        <v>38</v>
      </c>
      <c r="H67" s="43">
        <v>28</v>
      </c>
      <c r="I67" s="40" t="str">
        <f>"2800,0"</f>
        <v>2800,0</v>
      </c>
      <c r="J67" s="17" t="str">
        <f>"1763,3788"</f>
        <v>1763,3788</v>
      </c>
      <c r="K67" s="14" t="s">
        <v>158</v>
      </c>
    </row>
    <row r="68" spans="1:11">
      <c r="A68" s="20" t="s">
        <v>75</v>
      </c>
      <c r="B68" s="18" t="s">
        <v>3296</v>
      </c>
      <c r="C68" s="18" t="s">
        <v>3297</v>
      </c>
      <c r="D68" s="18" t="s">
        <v>3282</v>
      </c>
      <c r="E68" s="18" t="str">
        <f>"0,5835"</f>
        <v>0,5835</v>
      </c>
      <c r="F68" s="18" t="s">
        <v>3169</v>
      </c>
      <c r="G68" s="20" t="s">
        <v>38</v>
      </c>
      <c r="H68" s="26">
        <v>20</v>
      </c>
      <c r="I68" s="38" t="str">
        <f>"2000,0"</f>
        <v>2000,0</v>
      </c>
      <c r="J68" s="20" t="str">
        <f>"1178,7710"</f>
        <v>1178,7710</v>
      </c>
      <c r="K68" s="18" t="s">
        <v>158</v>
      </c>
    </row>
    <row r="69" spans="1:11">
      <c r="B69" s="5" t="s">
        <v>40</v>
      </c>
    </row>
    <row r="70" spans="1:11" ht="15.95">
      <c r="A70" s="102" t="s">
        <v>724</v>
      </c>
      <c r="B70" s="102"/>
      <c r="C70" s="102"/>
      <c r="D70" s="102"/>
      <c r="E70" s="102"/>
      <c r="F70" s="102"/>
      <c r="G70" s="102"/>
      <c r="H70" s="102"/>
      <c r="I70" s="102"/>
      <c r="J70" s="102"/>
    </row>
    <row r="71" spans="1:11">
      <c r="A71" s="13" t="s">
        <v>15</v>
      </c>
      <c r="B71" s="11" t="s">
        <v>3325</v>
      </c>
      <c r="C71" s="11" t="s">
        <v>4031</v>
      </c>
      <c r="D71" s="11" t="s">
        <v>742</v>
      </c>
      <c r="E71" s="11" t="str">
        <f>"0,5658"</f>
        <v>0,5658</v>
      </c>
      <c r="F71" s="11" t="s">
        <v>4032</v>
      </c>
      <c r="G71" s="13" t="s">
        <v>69</v>
      </c>
      <c r="H71" s="28">
        <v>22</v>
      </c>
      <c r="I71" s="37" t="str">
        <f>"2420,0"</f>
        <v>2420,0</v>
      </c>
      <c r="J71" s="13" t="str">
        <f>"1369,2360"</f>
        <v>1369,2360</v>
      </c>
      <c r="K71" s="11" t="s">
        <v>3326</v>
      </c>
    </row>
    <row r="72" spans="1:11">
      <c r="A72" s="17" t="s">
        <v>15</v>
      </c>
      <c r="B72" s="14" t="s">
        <v>4033</v>
      </c>
      <c r="C72" s="14" t="s">
        <v>4034</v>
      </c>
      <c r="D72" s="14" t="s">
        <v>4035</v>
      </c>
      <c r="E72" s="14" t="str">
        <f>"0,5767"</f>
        <v>0,5767</v>
      </c>
      <c r="F72" s="14" t="s">
        <v>3873</v>
      </c>
      <c r="G72" s="17" t="s">
        <v>46</v>
      </c>
      <c r="H72" s="43">
        <v>55</v>
      </c>
      <c r="I72" s="40" t="str">
        <f>"5637,5"</f>
        <v>5637,5</v>
      </c>
      <c r="J72" s="17" t="str">
        <f>"3251,1461"</f>
        <v>3251,1461</v>
      </c>
      <c r="K72" s="14" t="s">
        <v>158</v>
      </c>
    </row>
    <row r="73" spans="1:11">
      <c r="A73" s="17" t="s">
        <v>62</v>
      </c>
      <c r="B73" s="14" t="s">
        <v>4036</v>
      </c>
      <c r="C73" s="14" t="s">
        <v>4037</v>
      </c>
      <c r="D73" s="14" t="s">
        <v>4038</v>
      </c>
      <c r="E73" s="14" t="str">
        <f>"0,5809"</f>
        <v>0,5809</v>
      </c>
      <c r="F73" s="14" t="s">
        <v>4039</v>
      </c>
      <c r="G73" s="17" t="s">
        <v>46</v>
      </c>
      <c r="H73" s="43">
        <v>32</v>
      </c>
      <c r="I73" s="40" t="str">
        <f>"3280,0"</f>
        <v>3280,0</v>
      </c>
      <c r="J73" s="17" t="str">
        <f>"1905,1880"</f>
        <v>1905,1880</v>
      </c>
      <c r="K73" s="14" t="s">
        <v>158</v>
      </c>
    </row>
    <row r="74" spans="1:11">
      <c r="A74" s="17" t="s">
        <v>15</v>
      </c>
      <c r="B74" s="14" t="s">
        <v>3393</v>
      </c>
      <c r="C74" s="14" t="s">
        <v>3394</v>
      </c>
      <c r="D74" s="14" t="s">
        <v>1847</v>
      </c>
      <c r="E74" s="14" t="str">
        <f>"0,5688"</f>
        <v>0,5688</v>
      </c>
      <c r="F74" s="14" t="s">
        <v>3110</v>
      </c>
      <c r="G74" s="17" t="s">
        <v>47</v>
      </c>
      <c r="H74" s="43">
        <v>27</v>
      </c>
      <c r="I74" s="40" t="str">
        <f>"2902,5"</f>
        <v>2902,5</v>
      </c>
      <c r="J74" s="17" t="str">
        <f>"1811,2425"</f>
        <v>1811,2425</v>
      </c>
      <c r="K74" s="14" t="s">
        <v>3395</v>
      </c>
    </row>
    <row r="75" spans="1:11">
      <c r="A75" s="17" t="s">
        <v>62</v>
      </c>
      <c r="B75" s="14" t="s">
        <v>3399</v>
      </c>
      <c r="C75" s="14" t="s">
        <v>3400</v>
      </c>
      <c r="D75" s="14" t="s">
        <v>782</v>
      </c>
      <c r="E75" s="14" t="str">
        <f>"0,5748"</f>
        <v>0,5748</v>
      </c>
      <c r="F75" s="14" t="s">
        <v>1238</v>
      </c>
      <c r="G75" s="17" t="s">
        <v>49</v>
      </c>
      <c r="H75" s="43">
        <v>27</v>
      </c>
      <c r="I75" s="40" t="str">
        <f>"2835,0"</f>
        <v>2835,0</v>
      </c>
      <c r="J75" s="17" t="str">
        <f>"1719,1837"</f>
        <v>1719,1837</v>
      </c>
      <c r="K75" s="14" t="s">
        <v>158</v>
      </c>
    </row>
    <row r="76" spans="1:11">
      <c r="A76" s="20" t="s">
        <v>73</v>
      </c>
      <c r="B76" s="18" t="s">
        <v>774</v>
      </c>
      <c r="C76" s="18" t="s">
        <v>775</v>
      </c>
      <c r="D76" s="18" t="s">
        <v>776</v>
      </c>
      <c r="E76" s="18" t="str">
        <f>"0,5647"</f>
        <v>0,5647</v>
      </c>
      <c r="F76" s="18" t="s">
        <v>602</v>
      </c>
      <c r="G76" s="20" t="s">
        <v>69</v>
      </c>
      <c r="H76" s="26">
        <v>20</v>
      </c>
      <c r="I76" s="38" t="str">
        <f>"2200,0"</f>
        <v>2200,0</v>
      </c>
      <c r="J76" s="20" t="str">
        <f>"1295,7606"</f>
        <v>1295,7606</v>
      </c>
      <c r="K76" s="18" t="s">
        <v>158</v>
      </c>
    </row>
    <row r="77" spans="1:11">
      <c r="B77" s="5" t="s">
        <v>40</v>
      </c>
    </row>
    <row r="78" spans="1:11" ht="15.95">
      <c r="A78" s="102" t="s">
        <v>783</v>
      </c>
      <c r="B78" s="102"/>
      <c r="C78" s="102"/>
      <c r="D78" s="102"/>
      <c r="E78" s="102"/>
      <c r="F78" s="102"/>
      <c r="G78" s="102"/>
      <c r="H78" s="102"/>
      <c r="I78" s="102"/>
      <c r="J78" s="102"/>
    </row>
    <row r="79" spans="1:11">
      <c r="A79" s="13" t="s">
        <v>92</v>
      </c>
      <c r="B79" s="11" t="s">
        <v>3430</v>
      </c>
      <c r="C79" s="11" t="s">
        <v>4040</v>
      </c>
      <c r="D79" s="11" t="s">
        <v>1916</v>
      </c>
      <c r="E79" s="11" t="str">
        <f>"0,5519"</f>
        <v>0,5519</v>
      </c>
      <c r="F79" s="11" t="s">
        <v>1238</v>
      </c>
      <c r="G79" s="13" t="s">
        <v>70</v>
      </c>
      <c r="H79" s="28">
        <v>4</v>
      </c>
      <c r="I79" s="37">
        <v>0</v>
      </c>
      <c r="J79" s="13" t="str">
        <f>"0,0000"</f>
        <v>0,0000</v>
      </c>
      <c r="K79" s="11" t="s">
        <v>3433</v>
      </c>
    </row>
    <row r="80" spans="1:11">
      <c r="A80" s="17" t="s">
        <v>15</v>
      </c>
      <c r="B80" s="14" t="s">
        <v>3336</v>
      </c>
      <c r="C80" s="14" t="s">
        <v>3337</v>
      </c>
      <c r="D80" s="14" t="s">
        <v>786</v>
      </c>
      <c r="E80" s="14" t="str">
        <f>"0,5620"</f>
        <v>0,5620</v>
      </c>
      <c r="F80" s="14" t="s">
        <v>166</v>
      </c>
      <c r="G80" s="17" t="s">
        <v>55</v>
      </c>
      <c r="H80" s="43">
        <v>37</v>
      </c>
      <c r="I80" s="40" t="str">
        <f>"4162,5"</f>
        <v>4162,5</v>
      </c>
      <c r="J80" s="17" t="str">
        <f>"2339,5331"</f>
        <v>2339,5331</v>
      </c>
      <c r="K80" s="14" t="s">
        <v>158</v>
      </c>
    </row>
    <row r="81" spans="1:11">
      <c r="A81" s="17" t="s">
        <v>62</v>
      </c>
      <c r="B81" s="14" t="s">
        <v>1911</v>
      </c>
      <c r="C81" s="14" t="s">
        <v>1912</v>
      </c>
      <c r="D81" s="14" t="s">
        <v>4041</v>
      </c>
      <c r="E81" s="14" t="str">
        <f>"0,5538"</f>
        <v>0,5538</v>
      </c>
      <c r="F81" s="14" t="s">
        <v>594</v>
      </c>
      <c r="G81" s="17" t="s">
        <v>84</v>
      </c>
      <c r="H81" s="43">
        <v>33</v>
      </c>
      <c r="I81" s="40" t="str">
        <f>"3877,5"</f>
        <v>3877,5</v>
      </c>
      <c r="J81" s="17" t="str">
        <f>"2147,5534"</f>
        <v>2147,5534</v>
      </c>
      <c r="K81" s="14" t="s">
        <v>158</v>
      </c>
    </row>
    <row r="82" spans="1:11">
      <c r="A82" s="17" t="s">
        <v>73</v>
      </c>
      <c r="B82" s="14" t="s">
        <v>3446</v>
      </c>
      <c r="C82" s="14" t="s">
        <v>3447</v>
      </c>
      <c r="D82" s="14" t="s">
        <v>3448</v>
      </c>
      <c r="E82" s="14" t="str">
        <f>"0,5495"</f>
        <v>0,5495</v>
      </c>
      <c r="F82" s="14" t="s">
        <v>906</v>
      </c>
      <c r="G82" s="17" t="s">
        <v>162</v>
      </c>
      <c r="H82" s="43">
        <v>29</v>
      </c>
      <c r="I82" s="40" t="str">
        <f>"3552,5"</f>
        <v>3552,5</v>
      </c>
      <c r="J82" s="17" t="str">
        <f>"1952,0987"</f>
        <v>1952,0987</v>
      </c>
      <c r="K82" s="14" t="s">
        <v>3156</v>
      </c>
    </row>
    <row r="83" spans="1:11">
      <c r="A83" s="17" t="s">
        <v>75</v>
      </c>
      <c r="B83" s="14" t="s">
        <v>3442</v>
      </c>
      <c r="C83" s="14" t="s">
        <v>3443</v>
      </c>
      <c r="D83" s="14" t="s">
        <v>1286</v>
      </c>
      <c r="E83" s="14" t="str">
        <f>"0,5498"</f>
        <v>0,5498</v>
      </c>
      <c r="F83" s="14" t="s">
        <v>3445</v>
      </c>
      <c r="G83" s="17" t="s">
        <v>162</v>
      </c>
      <c r="H83" s="43">
        <v>27</v>
      </c>
      <c r="I83" s="40" t="str">
        <f>"3307,5"</f>
        <v>3307,5</v>
      </c>
      <c r="J83" s="17" t="str">
        <f>"1818,4634"</f>
        <v>1818,4634</v>
      </c>
      <c r="K83" s="14" t="s">
        <v>3198</v>
      </c>
    </row>
    <row r="84" spans="1:11">
      <c r="A84" s="17" t="s">
        <v>15</v>
      </c>
      <c r="B84" s="14" t="s">
        <v>4042</v>
      </c>
      <c r="C84" s="14" t="s">
        <v>4043</v>
      </c>
      <c r="D84" s="14" t="s">
        <v>4044</v>
      </c>
      <c r="E84" s="14" t="str">
        <f>"0,5566"</f>
        <v>0,5566</v>
      </c>
      <c r="F84" s="14" t="s">
        <v>91</v>
      </c>
      <c r="G84" s="17" t="s">
        <v>56</v>
      </c>
      <c r="H84" s="43">
        <v>23</v>
      </c>
      <c r="I84" s="40" t="str">
        <f>"2645,0"</f>
        <v>2645,0</v>
      </c>
      <c r="J84" s="17" t="str">
        <f>"1572,4583"</f>
        <v>1572,4583</v>
      </c>
      <c r="K84" s="14" t="s">
        <v>158</v>
      </c>
    </row>
    <row r="85" spans="1:11">
      <c r="A85" s="17" t="s">
        <v>15</v>
      </c>
      <c r="B85" s="14" t="s">
        <v>3642</v>
      </c>
      <c r="C85" s="14" t="s">
        <v>3643</v>
      </c>
      <c r="D85" s="14" t="s">
        <v>3644</v>
      </c>
      <c r="E85" s="14" t="str">
        <f>"0,5611"</f>
        <v>0,5611</v>
      </c>
      <c r="F85" s="14" t="s">
        <v>3873</v>
      </c>
      <c r="G85" s="17" t="s">
        <v>55</v>
      </c>
      <c r="H85" s="43">
        <v>10</v>
      </c>
      <c r="I85" s="40" t="str">
        <f>"1125,0"</f>
        <v>1125,0</v>
      </c>
      <c r="J85" s="17" t="str">
        <f>"800,4092"</f>
        <v>800,4092</v>
      </c>
      <c r="K85" s="14" t="s">
        <v>158</v>
      </c>
    </row>
    <row r="86" spans="1:11">
      <c r="A86" s="20" t="s">
        <v>15</v>
      </c>
      <c r="B86" s="18" t="s">
        <v>3484</v>
      </c>
      <c r="C86" s="18" t="s">
        <v>4045</v>
      </c>
      <c r="D86" s="18" t="s">
        <v>3486</v>
      </c>
      <c r="E86" s="18" t="str">
        <f>"0,5571"</f>
        <v>0,5571</v>
      </c>
      <c r="F86" s="18" t="s">
        <v>669</v>
      </c>
      <c r="G86" s="20" t="s">
        <v>56</v>
      </c>
      <c r="H86" s="26">
        <v>15</v>
      </c>
      <c r="I86" s="38" t="str">
        <f>"1725,0"</f>
        <v>1725,0</v>
      </c>
      <c r="J86" s="20" t="str">
        <f>"1422,2763"</f>
        <v>1422,2763</v>
      </c>
      <c r="K86" s="18" t="s">
        <v>158</v>
      </c>
    </row>
    <row r="87" spans="1:11">
      <c r="B87" s="5" t="s">
        <v>40</v>
      </c>
    </row>
    <row r="88" spans="1:11" ht="15.95">
      <c r="A88" s="102" t="s">
        <v>794</v>
      </c>
      <c r="B88" s="102"/>
      <c r="C88" s="102"/>
      <c r="D88" s="102"/>
      <c r="E88" s="102"/>
      <c r="F88" s="102"/>
      <c r="G88" s="102"/>
      <c r="H88" s="102"/>
      <c r="I88" s="102"/>
      <c r="J88" s="102"/>
    </row>
    <row r="89" spans="1:11">
      <c r="A89" s="13" t="s">
        <v>15</v>
      </c>
      <c r="B89" s="11" t="s">
        <v>3490</v>
      </c>
      <c r="C89" s="11" t="s">
        <v>3491</v>
      </c>
      <c r="D89" s="11" t="s">
        <v>3492</v>
      </c>
      <c r="E89" s="11" t="str">
        <f>"0,5368"</f>
        <v>0,5368</v>
      </c>
      <c r="F89" s="11" t="s">
        <v>1279</v>
      </c>
      <c r="G89" s="13" t="s">
        <v>209</v>
      </c>
      <c r="H89" s="28">
        <v>21</v>
      </c>
      <c r="I89" s="37" t="str">
        <f>"2835,0"</f>
        <v>2835,0</v>
      </c>
      <c r="J89" s="13" t="str">
        <f>"1521,8563"</f>
        <v>1521,8563</v>
      </c>
      <c r="K89" s="11" t="s">
        <v>158</v>
      </c>
    </row>
    <row r="90" spans="1:11">
      <c r="A90" s="17" t="s">
        <v>62</v>
      </c>
      <c r="B90" s="14" t="s">
        <v>4046</v>
      </c>
      <c r="C90" s="14" t="s">
        <v>4047</v>
      </c>
      <c r="D90" s="14" t="s">
        <v>4048</v>
      </c>
      <c r="E90" s="14" t="str">
        <f>"0,5340"</f>
        <v>0,5340</v>
      </c>
      <c r="F90" s="14" t="s">
        <v>633</v>
      </c>
      <c r="G90" s="17" t="s">
        <v>147</v>
      </c>
      <c r="H90" s="43">
        <v>19</v>
      </c>
      <c r="I90" s="40" t="str">
        <f>"2612,5"</f>
        <v>2612,5</v>
      </c>
      <c r="J90" s="17" t="str">
        <f>"1395,1665"</f>
        <v>1395,1665</v>
      </c>
      <c r="K90" s="14" t="s">
        <v>158</v>
      </c>
    </row>
    <row r="91" spans="1:11">
      <c r="A91" s="17" t="s">
        <v>73</v>
      </c>
      <c r="B91" s="14" t="s">
        <v>3707</v>
      </c>
      <c r="C91" s="14" t="s">
        <v>3708</v>
      </c>
      <c r="D91" s="14" t="s">
        <v>4049</v>
      </c>
      <c r="E91" s="14" t="str">
        <f>"0,5426"</f>
        <v>0,5426</v>
      </c>
      <c r="F91" s="14" t="s">
        <v>3710</v>
      </c>
      <c r="G91" s="17" t="s">
        <v>71</v>
      </c>
      <c r="H91" s="43">
        <v>14</v>
      </c>
      <c r="I91" s="40" t="str">
        <f>"1820,0"</f>
        <v>1820,0</v>
      </c>
      <c r="J91" s="17" t="str">
        <f>"987,6230"</f>
        <v>987,6230</v>
      </c>
      <c r="K91" s="14" t="s">
        <v>3711</v>
      </c>
    </row>
    <row r="92" spans="1:11">
      <c r="A92" s="17" t="s">
        <v>75</v>
      </c>
      <c r="B92" s="14" t="s">
        <v>4050</v>
      </c>
      <c r="C92" s="14" t="s">
        <v>4051</v>
      </c>
      <c r="D92" s="14" t="s">
        <v>4052</v>
      </c>
      <c r="E92" s="14" t="str">
        <f>"0,5449"</f>
        <v>0,5449</v>
      </c>
      <c r="F92" s="14" t="s">
        <v>1018</v>
      </c>
      <c r="G92" s="17" t="s">
        <v>85</v>
      </c>
      <c r="H92" s="43">
        <v>12</v>
      </c>
      <c r="I92" s="40" t="str">
        <f>"1530,0"</f>
        <v>1530,0</v>
      </c>
      <c r="J92" s="17" t="str">
        <f>"833,7276"</f>
        <v>833,7276</v>
      </c>
      <c r="K92" s="14" t="s">
        <v>1626</v>
      </c>
    </row>
    <row r="93" spans="1:11">
      <c r="A93" s="20" t="s">
        <v>15</v>
      </c>
      <c r="B93" s="18" t="s">
        <v>3490</v>
      </c>
      <c r="C93" s="18" t="s">
        <v>3502</v>
      </c>
      <c r="D93" s="18" t="s">
        <v>3492</v>
      </c>
      <c r="E93" s="18" t="str">
        <f>"0,5368"</f>
        <v>0,5368</v>
      </c>
      <c r="F93" s="18" t="s">
        <v>1279</v>
      </c>
      <c r="G93" s="20" t="s">
        <v>209</v>
      </c>
      <c r="H93" s="26">
        <v>21</v>
      </c>
      <c r="I93" s="38" t="str">
        <f>"2835,0"</f>
        <v>2835,0</v>
      </c>
      <c r="J93" s="20" t="str">
        <f>"1625,3425"</f>
        <v>1625,3425</v>
      </c>
      <c r="K93" s="18" t="s">
        <v>158</v>
      </c>
    </row>
    <row r="94" spans="1:11">
      <c r="B94" s="5" t="s">
        <v>40</v>
      </c>
    </row>
    <row r="97" spans="2:6" ht="18">
      <c r="B97" s="23" t="s">
        <v>830</v>
      </c>
      <c r="C97" s="23"/>
    </row>
    <row r="98" spans="2:6" ht="15.95">
      <c r="B98" s="95" t="s">
        <v>855</v>
      </c>
      <c r="C98" s="95"/>
    </row>
    <row r="99" spans="2:6" ht="14.1">
      <c r="B99" s="24"/>
      <c r="C99" s="24" t="s">
        <v>832</v>
      </c>
    </row>
    <row r="100" spans="2:6" ht="14.1">
      <c r="B100" s="4" t="s">
        <v>833</v>
      </c>
      <c r="C100" s="4" t="s">
        <v>834</v>
      </c>
      <c r="D100" s="4" t="s">
        <v>835</v>
      </c>
      <c r="E100" s="4" t="s">
        <v>3857</v>
      </c>
      <c r="F100" s="4" t="s">
        <v>3650</v>
      </c>
    </row>
    <row r="101" spans="2:6">
      <c r="B101" s="5" t="s">
        <v>3660</v>
      </c>
      <c r="C101" s="5" t="s">
        <v>832</v>
      </c>
      <c r="D101" s="6" t="s">
        <v>868</v>
      </c>
      <c r="E101" s="6" t="s">
        <v>4053</v>
      </c>
      <c r="F101" s="6" t="s">
        <v>4054</v>
      </c>
    </row>
    <row r="102" spans="2:6">
      <c r="B102" s="5" t="s">
        <v>3981</v>
      </c>
      <c r="C102" s="5" t="s">
        <v>832</v>
      </c>
      <c r="D102" s="6" t="s">
        <v>861</v>
      </c>
      <c r="E102" s="6" t="s">
        <v>4055</v>
      </c>
      <c r="F102" s="6" t="s">
        <v>4056</v>
      </c>
    </row>
    <row r="103" spans="2:6">
      <c r="B103" s="5" t="s">
        <v>4033</v>
      </c>
      <c r="C103" s="5" t="s">
        <v>832</v>
      </c>
      <c r="D103" s="6" t="s">
        <v>1349</v>
      </c>
      <c r="E103" s="6" t="s">
        <v>4057</v>
      </c>
      <c r="F103" s="6" t="s">
        <v>4058</v>
      </c>
    </row>
    <row r="105" spans="2:6" ht="14.1">
      <c r="B105" s="24"/>
      <c r="C105" s="24" t="s">
        <v>847</v>
      </c>
    </row>
    <row r="106" spans="2:6" ht="14.1">
      <c r="B106" s="4" t="s">
        <v>833</v>
      </c>
      <c r="C106" s="4" t="s">
        <v>834</v>
      </c>
      <c r="D106" s="4" t="s">
        <v>4059</v>
      </c>
      <c r="E106" s="4" t="s">
        <v>3857</v>
      </c>
      <c r="F106" s="4" t="s">
        <v>3650</v>
      </c>
    </row>
    <row r="107" spans="2:6">
      <c r="B107" s="5" t="s">
        <v>4014</v>
      </c>
      <c r="C107" s="5" t="s">
        <v>884</v>
      </c>
      <c r="D107" s="6" t="s">
        <v>858</v>
      </c>
      <c r="E107" s="6" t="s">
        <v>4060</v>
      </c>
      <c r="F107" s="6" t="s">
        <v>4061</v>
      </c>
    </row>
    <row r="108" spans="2:6">
      <c r="B108" s="5" t="s">
        <v>4021</v>
      </c>
      <c r="C108" s="5" t="s">
        <v>848</v>
      </c>
      <c r="D108" s="6" t="s">
        <v>888</v>
      </c>
      <c r="E108" s="6" t="s">
        <v>4062</v>
      </c>
      <c r="F108" s="6" t="s">
        <v>4063</v>
      </c>
    </row>
    <row r="109" spans="2:6">
      <c r="B109" s="5" t="s">
        <v>3897</v>
      </c>
      <c r="C109" s="5" t="s">
        <v>884</v>
      </c>
      <c r="D109" s="6" t="s">
        <v>868</v>
      </c>
      <c r="E109" s="6" t="s">
        <v>3952</v>
      </c>
      <c r="F109" s="6" t="s">
        <v>3953</v>
      </c>
    </row>
    <row r="110" spans="2:6">
      <c r="B110" s="5" t="s">
        <v>40</v>
      </c>
    </row>
  </sheetData>
  <mergeCells count="23">
    <mergeCell ref="A70:J70"/>
    <mergeCell ref="A78:J78"/>
    <mergeCell ref="A88:J88"/>
    <mergeCell ref="B3:B4"/>
    <mergeCell ref="A14:J14"/>
    <mergeCell ref="A19:J19"/>
    <mergeCell ref="A25:J25"/>
    <mergeCell ref="A31:J31"/>
    <mergeCell ref="A41:J41"/>
    <mergeCell ref="A57:J57"/>
    <mergeCell ref="I3:I4"/>
    <mergeCell ref="J3:J4"/>
    <mergeCell ref="K3:K4"/>
    <mergeCell ref="A5:J5"/>
    <mergeCell ref="A8:J8"/>
    <mergeCell ref="A11:J11"/>
    <mergeCell ref="A1:K2"/>
    <mergeCell ref="A3:A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32"/>
  <sheetViews>
    <sheetView workbookViewId="0">
      <selection sqref="A1:K2"/>
    </sheetView>
  </sheetViews>
  <sheetFormatPr defaultColWidth="9.140625" defaultRowHeight="12.95"/>
  <cols>
    <col min="1" max="1" width="7.42578125" style="6" bestFit="1" customWidth="1"/>
    <col min="2" max="2" width="20" style="5" bestFit="1" customWidth="1"/>
    <col min="3" max="3" width="29" style="5" bestFit="1" customWidth="1"/>
    <col min="4" max="4" width="21.42578125" style="5" bestFit="1" customWidth="1"/>
    <col min="5" max="5" width="10.42578125" style="5" bestFit="1" customWidth="1"/>
    <col min="6" max="6" width="20.42578125" style="5" customWidth="1"/>
    <col min="7" max="7" width="10.140625" style="6" customWidth="1"/>
    <col min="8" max="8" width="12.140625" style="25" customWidth="1"/>
    <col min="9" max="9" width="8.85546875" style="6" bestFit="1" customWidth="1"/>
    <col min="10" max="10" width="9.42578125" style="6" bestFit="1" customWidth="1"/>
    <col min="11" max="11" width="19.42578125" style="5" customWidth="1"/>
    <col min="12" max="16384" width="9.140625" style="3"/>
  </cols>
  <sheetData>
    <row r="1" spans="1:11" s="2" customFormat="1" ht="29.1" customHeight="1">
      <c r="A1" s="103" t="s">
        <v>4064</v>
      </c>
      <c r="B1" s="104"/>
      <c r="C1" s="105"/>
      <c r="D1" s="105"/>
      <c r="E1" s="105"/>
      <c r="F1" s="105"/>
      <c r="G1" s="105"/>
      <c r="H1" s="105"/>
      <c r="I1" s="105"/>
      <c r="J1" s="105"/>
      <c r="K1" s="106"/>
    </row>
    <row r="2" spans="1:11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1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3599</v>
      </c>
      <c r="F3" s="114" t="s">
        <v>6</v>
      </c>
      <c r="G3" s="114" t="s">
        <v>3856</v>
      </c>
      <c r="H3" s="114"/>
      <c r="I3" s="114" t="s">
        <v>3857</v>
      </c>
      <c r="J3" s="114" t="s">
        <v>11</v>
      </c>
      <c r="K3" s="99" t="s">
        <v>12</v>
      </c>
    </row>
    <row r="4" spans="1:11" s="1" customFormat="1" ht="21" customHeight="1" thickBot="1">
      <c r="A4" s="111"/>
      <c r="B4" s="116"/>
      <c r="C4" s="113"/>
      <c r="D4" s="113"/>
      <c r="E4" s="113"/>
      <c r="F4" s="113"/>
      <c r="G4" s="96" t="s">
        <v>3858</v>
      </c>
      <c r="H4" s="97" t="s">
        <v>3859</v>
      </c>
      <c r="I4" s="113"/>
      <c r="J4" s="113"/>
      <c r="K4" s="100"/>
    </row>
    <row r="5" spans="1:11" ht="15.95">
      <c r="A5" s="101" t="s">
        <v>98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1">
      <c r="A6" s="13" t="s">
        <v>15</v>
      </c>
      <c r="B6" s="11" t="s">
        <v>1375</v>
      </c>
      <c r="C6" s="11" t="s">
        <v>1376</v>
      </c>
      <c r="D6" s="11" t="s">
        <v>1377</v>
      </c>
      <c r="E6" s="11" t="str">
        <f>"1,1477"</f>
        <v>1,1477</v>
      </c>
      <c r="F6" s="11" t="s">
        <v>1378</v>
      </c>
      <c r="G6" s="13" t="s">
        <v>24</v>
      </c>
      <c r="H6" s="28">
        <v>105</v>
      </c>
      <c r="I6" s="13" t="str">
        <f>"2625,0"</f>
        <v>2625,0</v>
      </c>
      <c r="J6" s="13" t="str">
        <f>"3012,7124"</f>
        <v>3012,7124</v>
      </c>
      <c r="K6" s="11" t="s">
        <v>1379</v>
      </c>
    </row>
    <row r="7" spans="1:11">
      <c r="A7" s="20" t="s">
        <v>15</v>
      </c>
      <c r="B7" s="18" t="s">
        <v>1375</v>
      </c>
      <c r="C7" s="18" t="s">
        <v>1381</v>
      </c>
      <c r="D7" s="18" t="s">
        <v>1377</v>
      </c>
      <c r="E7" s="18" t="str">
        <f>"1,1477"</f>
        <v>1,1477</v>
      </c>
      <c r="F7" s="18" t="s">
        <v>1378</v>
      </c>
      <c r="G7" s="20" t="s">
        <v>24</v>
      </c>
      <c r="H7" s="26">
        <v>105</v>
      </c>
      <c r="I7" s="20" t="str">
        <f>"2625,0"</f>
        <v>2625,0</v>
      </c>
      <c r="J7" s="20" t="str">
        <f>"3889,4117"</f>
        <v>3889,4117</v>
      </c>
      <c r="K7" s="18" t="s">
        <v>1379</v>
      </c>
    </row>
    <row r="8" spans="1:11">
      <c r="B8" s="5" t="s">
        <v>40</v>
      </c>
    </row>
    <row r="9" spans="1:11" ht="15.95">
      <c r="A9" s="102" t="s">
        <v>141</v>
      </c>
      <c r="B9" s="102"/>
      <c r="C9" s="102"/>
      <c r="D9" s="102"/>
      <c r="E9" s="102"/>
      <c r="F9" s="102"/>
      <c r="G9" s="102"/>
      <c r="H9" s="102"/>
      <c r="I9" s="102"/>
      <c r="J9" s="102"/>
    </row>
    <row r="10" spans="1:11">
      <c r="A10" s="13" t="s">
        <v>15</v>
      </c>
      <c r="B10" s="11" t="s">
        <v>4065</v>
      </c>
      <c r="C10" s="11" t="s">
        <v>4066</v>
      </c>
      <c r="D10" s="11" t="s">
        <v>165</v>
      </c>
      <c r="E10" s="11" t="str">
        <f>"1,0484"</f>
        <v>1,0484</v>
      </c>
      <c r="F10" s="11" t="s">
        <v>91</v>
      </c>
      <c r="G10" s="13" t="s">
        <v>3063</v>
      </c>
      <c r="H10" s="28">
        <v>53</v>
      </c>
      <c r="I10" s="13" t="str">
        <f>"1590,0"</f>
        <v>1590,0</v>
      </c>
      <c r="J10" s="13" t="str">
        <f>"1666,9561"</f>
        <v>1666,9561</v>
      </c>
      <c r="K10" s="11" t="s">
        <v>4067</v>
      </c>
    </row>
    <row r="11" spans="1:11">
      <c r="A11" s="20" t="s">
        <v>15</v>
      </c>
      <c r="B11" s="18" t="s">
        <v>4068</v>
      </c>
      <c r="C11" s="18" t="s">
        <v>4069</v>
      </c>
      <c r="D11" s="18" t="s">
        <v>4070</v>
      </c>
      <c r="E11" s="18" t="str">
        <f>"1,0606"</f>
        <v>1,0606</v>
      </c>
      <c r="F11" s="18" t="s">
        <v>2096</v>
      </c>
      <c r="G11" s="20" t="s">
        <v>4071</v>
      </c>
      <c r="H11" s="26">
        <v>66</v>
      </c>
      <c r="I11" s="20" t="str">
        <f>"1815,0"</f>
        <v>1815,0</v>
      </c>
      <c r="J11" s="20" t="str">
        <f>"2007,7636"</f>
        <v>2007,7636</v>
      </c>
      <c r="K11" s="18" t="s">
        <v>158</v>
      </c>
    </row>
    <row r="12" spans="1:11">
      <c r="B12" s="5" t="s">
        <v>40</v>
      </c>
    </row>
    <row r="13" spans="1:11" ht="15.95">
      <c r="A13" s="102" t="s">
        <v>195</v>
      </c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1">
      <c r="A14" s="13" t="s">
        <v>15</v>
      </c>
      <c r="B14" s="11" t="s">
        <v>1393</v>
      </c>
      <c r="C14" s="11" t="s">
        <v>4072</v>
      </c>
      <c r="D14" s="11" t="s">
        <v>1395</v>
      </c>
      <c r="E14" s="11" t="str">
        <f>"1,0205"</f>
        <v>1,0205</v>
      </c>
      <c r="F14" s="11" t="s">
        <v>594</v>
      </c>
      <c r="G14" s="13" t="s">
        <v>3063</v>
      </c>
      <c r="H14" s="28">
        <v>27</v>
      </c>
      <c r="I14" s="13" t="str">
        <f>"810,0"</f>
        <v>810,0</v>
      </c>
      <c r="J14" s="13" t="str">
        <f>"826,6050"</f>
        <v>826,6050</v>
      </c>
      <c r="K14" s="11" t="s">
        <v>1396</v>
      </c>
    </row>
    <row r="15" spans="1:11">
      <c r="A15" s="17" t="s">
        <v>15</v>
      </c>
      <c r="B15" s="14" t="s">
        <v>2357</v>
      </c>
      <c r="C15" s="14" t="s">
        <v>582</v>
      </c>
      <c r="D15" s="14" t="s">
        <v>4073</v>
      </c>
      <c r="E15" s="14" t="str">
        <f>"1,0248"</f>
        <v>1,0248</v>
      </c>
      <c r="F15" s="14" t="s">
        <v>1224</v>
      </c>
      <c r="G15" s="17" t="s">
        <v>3063</v>
      </c>
      <c r="H15" s="43">
        <v>60</v>
      </c>
      <c r="I15" s="17" t="str">
        <f>"1800,0"</f>
        <v>1800,0</v>
      </c>
      <c r="J15" s="17" t="str">
        <f>"1844,6399"</f>
        <v>1844,6399</v>
      </c>
      <c r="K15" s="14" t="s">
        <v>1225</v>
      </c>
    </row>
    <row r="16" spans="1:11">
      <c r="A16" s="20" t="s">
        <v>62</v>
      </c>
      <c r="B16" s="18" t="s">
        <v>2359</v>
      </c>
      <c r="C16" s="18" t="s">
        <v>211</v>
      </c>
      <c r="D16" s="18" t="s">
        <v>2228</v>
      </c>
      <c r="E16" s="18" t="str">
        <f>"0,9930"</f>
        <v>0,9930</v>
      </c>
      <c r="F16" s="18" t="s">
        <v>91</v>
      </c>
      <c r="G16" s="20" t="s">
        <v>3063</v>
      </c>
      <c r="H16" s="26">
        <v>45</v>
      </c>
      <c r="I16" s="20" t="str">
        <f>"1350,0"</f>
        <v>1350,0</v>
      </c>
      <c r="J16" s="20" t="str">
        <f>"1340,4825"</f>
        <v>1340,4825</v>
      </c>
      <c r="K16" s="18" t="s">
        <v>158</v>
      </c>
    </row>
    <row r="17" spans="1:11">
      <c r="B17" s="5" t="s">
        <v>40</v>
      </c>
    </row>
    <row r="18" spans="1:11" ht="15.95">
      <c r="A18" s="102" t="s">
        <v>195</v>
      </c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11">
      <c r="A19" s="10" t="s">
        <v>15</v>
      </c>
      <c r="B19" s="7" t="s">
        <v>4074</v>
      </c>
      <c r="C19" s="7" t="s">
        <v>4075</v>
      </c>
      <c r="D19" s="7" t="s">
        <v>198</v>
      </c>
      <c r="E19" s="7" t="str">
        <f>"0,8411"</f>
        <v>0,8411</v>
      </c>
      <c r="F19" s="7" t="s">
        <v>91</v>
      </c>
      <c r="G19" s="10" t="s">
        <v>3063</v>
      </c>
      <c r="H19" s="27">
        <v>54</v>
      </c>
      <c r="I19" s="10" t="str">
        <f>"1620,0"</f>
        <v>1620,0</v>
      </c>
      <c r="J19" s="10" t="str">
        <f>"1362,5010"</f>
        <v>1362,5010</v>
      </c>
      <c r="K19" s="7" t="s">
        <v>158</v>
      </c>
    </row>
    <row r="20" spans="1:11">
      <c r="B20" s="5" t="s">
        <v>40</v>
      </c>
    </row>
    <row r="21" spans="1:11" ht="15.95">
      <c r="A21" s="102" t="s">
        <v>241</v>
      </c>
      <c r="B21" s="102"/>
      <c r="C21" s="102"/>
      <c r="D21" s="102"/>
      <c r="E21" s="102"/>
      <c r="F21" s="102"/>
      <c r="G21" s="102"/>
      <c r="H21" s="102"/>
      <c r="I21" s="102"/>
      <c r="J21" s="102"/>
    </row>
    <row r="22" spans="1:11">
      <c r="A22" s="10" t="s">
        <v>15</v>
      </c>
      <c r="B22" s="7" t="s">
        <v>2467</v>
      </c>
      <c r="C22" s="7" t="s">
        <v>3867</v>
      </c>
      <c r="D22" s="7" t="s">
        <v>2469</v>
      </c>
      <c r="E22" s="7" t="str">
        <f>"0,7551"</f>
        <v>0,7551</v>
      </c>
      <c r="F22" s="7" t="s">
        <v>2470</v>
      </c>
      <c r="G22" s="10" t="s">
        <v>20</v>
      </c>
      <c r="H22" s="27">
        <v>200</v>
      </c>
      <c r="I22" s="10" t="str">
        <f>"7000,0"</f>
        <v>7000,0</v>
      </c>
      <c r="J22" s="10" t="str">
        <f>"7664,2651"</f>
        <v>7664,2651</v>
      </c>
      <c r="K22" s="7" t="s">
        <v>2471</v>
      </c>
    </row>
    <row r="23" spans="1:11">
      <c r="B23" s="5" t="s">
        <v>40</v>
      </c>
    </row>
    <row r="24" spans="1:11" ht="15.95">
      <c r="A24" s="102" t="s">
        <v>301</v>
      </c>
      <c r="B24" s="102"/>
      <c r="C24" s="102"/>
      <c r="D24" s="102"/>
      <c r="E24" s="102"/>
      <c r="F24" s="102"/>
      <c r="G24" s="102"/>
      <c r="H24" s="102"/>
      <c r="I24" s="102"/>
      <c r="J24" s="102"/>
    </row>
    <row r="25" spans="1:11">
      <c r="A25" s="13" t="s">
        <v>15</v>
      </c>
      <c r="B25" s="11" t="s">
        <v>4076</v>
      </c>
      <c r="C25" s="11" t="s">
        <v>4077</v>
      </c>
      <c r="D25" s="11" t="s">
        <v>319</v>
      </c>
      <c r="E25" s="11" t="str">
        <f>"0,7411"</f>
        <v>0,7411</v>
      </c>
      <c r="F25" s="11" t="s">
        <v>2637</v>
      </c>
      <c r="G25" s="13" t="s">
        <v>20</v>
      </c>
      <c r="H25" s="28">
        <v>63</v>
      </c>
      <c r="I25" s="13" t="str">
        <f>"2205,0"</f>
        <v>2205,0</v>
      </c>
      <c r="J25" s="13" t="str">
        <f>"1634,0153"</f>
        <v>1634,0153</v>
      </c>
      <c r="K25" s="11" t="s">
        <v>4078</v>
      </c>
    </row>
    <row r="26" spans="1:11">
      <c r="A26" s="17" t="s">
        <v>62</v>
      </c>
      <c r="B26" s="14" t="s">
        <v>4079</v>
      </c>
      <c r="C26" s="14" t="s">
        <v>4080</v>
      </c>
      <c r="D26" s="14" t="s">
        <v>1013</v>
      </c>
      <c r="E26" s="14" t="str">
        <f>"0,7071"</f>
        <v>0,7071</v>
      </c>
      <c r="F26" s="14" t="s">
        <v>2128</v>
      </c>
      <c r="G26" s="17" t="s">
        <v>135</v>
      </c>
      <c r="H26" s="43">
        <v>55</v>
      </c>
      <c r="I26" s="17" t="str">
        <f>"2062,5"</f>
        <v>2062,5</v>
      </c>
      <c r="J26" s="17" t="str">
        <f>"1458,3937"</f>
        <v>1458,3937</v>
      </c>
      <c r="K26" s="14" t="s">
        <v>4081</v>
      </c>
    </row>
    <row r="27" spans="1:11">
      <c r="A27" s="17" t="s">
        <v>73</v>
      </c>
      <c r="B27" s="14" t="s">
        <v>4082</v>
      </c>
      <c r="C27" s="14" t="s">
        <v>4083</v>
      </c>
      <c r="D27" s="14" t="s">
        <v>390</v>
      </c>
      <c r="E27" s="14" t="str">
        <f>"0,6962"</f>
        <v>0,6962</v>
      </c>
      <c r="F27" s="14" t="s">
        <v>54</v>
      </c>
      <c r="G27" s="17" t="s">
        <v>135</v>
      </c>
      <c r="H27" s="43">
        <v>52</v>
      </c>
      <c r="I27" s="17" t="str">
        <f>"1950,0"</f>
        <v>1950,0</v>
      </c>
      <c r="J27" s="17" t="str">
        <f>"1357,4925"</f>
        <v>1357,4925</v>
      </c>
      <c r="K27" s="14" t="s">
        <v>4084</v>
      </c>
    </row>
    <row r="28" spans="1:11">
      <c r="A28" s="20" t="s">
        <v>15</v>
      </c>
      <c r="B28" s="18" t="s">
        <v>2547</v>
      </c>
      <c r="C28" s="18" t="s">
        <v>4085</v>
      </c>
      <c r="D28" s="18" t="s">
        <v>1661</v>
      </c>
      <c r="E28" s="18" t="str">
        <f>"0,6990"</f>
        <v>0,6990</v>
      </c>
      <c r="F28" s="18" t="s">
        <v>2549</v>
      </c>
      <c r="G28" s="20" t="s">
        <v>135</v>
      </c>
      <c r="H28" s="26">
        <v>71</v>
      </c>
      <c r="I28" s="20" t="str">
        <f>"2662,5"</f>
        <v>2662,5</v>
      </c>
      <c r="J28" s="20" t="str">
        <f>"2754,4095"</f>
        <v>2754,4095</v>
      </c>
      <c r="K28" s="18" t="s">
        <v>2550</v>
      </c>
    </row>
    <row r="29" spans="1:11">
      <c r="B29" s="5" t="s">
        <v>40</v>
      </c>
    </row>
    <row r="30" spans="1:11" ht="15.95">
      <c r="A30" s="102" t="s">
        <v>670</v>
      </c>
      <c r="B30" s="102"/>
      <c r="C30" s="102"/>
      <c r="D30" s="102"/>
      <c r="E30" s="102"/>
      <c r="F30" s="102"/>
      <c r="G30" s="102"/>
      <c r="H30" s="102"/>
      <c r="I30" s="102"/>
      <c r="J30" s="102"/>
    </row>
    <row r="31" spans="1:11">
      <c r="A31" s="10" t="s">
        <v>15</v>
      </c>
      <c r="B31" s="7" t="s">
        <v>2831</v>
      </c>
      <c r="C31" s="7" t="s">
        <v>4086</v>
      </c>
      <c r="D31" s="7" t="s">
        <v>1791</v>
      </c>
      <c r="E31" s="7" t="str">
        <f>"0,5885"</f>
        <v>0,5885</v>
      </c>
      <c r="F31" s="7" t="s">
        <v>2128</v>
      </c>
      <c r="G31" s="10" t="s">
        <v>103</v>
      </c>
      <c r="H31" s="27">
        <v>60</v>
      </c>
      <c r="I31" s="10" t="str">
        <f>"3000,0"</f>
        <v>3000,0</v>
      </c>
      <c r="J31" s="10" t="str">
        <f>"2411,8778"</f>
        <v>2411,8778</v>
      </c>
      <c r="K31" s="7" t="s">
        <v>158</v>
      </c>
    </row>
    <row r="32" spans="1:11">
      <c r="B32" s="5" t="s">
        <v>40</v>
      </c>
    </row>
  </sheetData>
  <mergeCells count="18">
    <mergeCell ref="A18:J18"/>
    <mergeCell ref="A21:J21"/>
    <mergeCell ref="A24:J24"/>
    <mergeCell ref="A30:J30"/>
    <mergeCell ref="B3:B4"/>
    <mergeCell ref="I3:I4"/>
    <mergeCell ref="J3:J4"/>
    <mergeCell ref="K3:K4"/>
    <mergeCell ref="A5:J5"/>
    <mergeCell ref="A9:J9"/>
    <mergeCell ref="A13:J13"/>
    <mergeCell ref="A1:K2"/>
    <mergeCell ref="A3:A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51"/>
  <sheetViews>
    <sheetView workbookViewId="0">
      <selection sqref="A1:K2"/>
    </sheetView>
  </sheetViews>
  <sheetFormatPr defaultColWidth="9.140625" defaultRowHeight="12.95"/>
  <cols>
    <col min="1" max="1" width="7.42578125" style="6" bestFit="1" customWidth="1"/>
    <col min="2" max="2" width="21.7109375" style="5" bestFit="1" customWidth="1"/>
    <col min="3" max="3" width="28.42578125" style="5" bestFit="1" customWidth="1"/>
    <col min="4" max="4" width="21.42578125" style="5" bestFit="1" customWidth="1"/>
    <col min="5" max="5" width="10.42578125" style="5" bestFit="1" customWidth="1"/>
    <col min="6" max="6" width="23.42578125" style="5" bestFit="1" customWidth="1"/>
    <col min="7" max="7" width="8.140625" style="6" customWidth="1"/>
    <col min="8" max="8" width="10.42578125" style="25" bestFit="1" customWidth="1"/>
    <col min="9" max="9" width="8.85546875" style="6" bestFit="1" customWidth="1"/>
    <col min="10" max="10" width="9.42578125" style="6" bestFit="1" customWidth="1"/>
    <col min="11" max="11" width="21.140625" style="5" customWidth="1"/>
    <col min="12" max="16384" width="9.140625" style="3"/>
  </cols>
  <sheetData>
    <row r="1" spans="1:11" s="2" customFormat="1" ht="29.1" customHeight="1">
      <c r="A1" s="103" t="s">
        <v>4087</v>
      </c>
      <c r="B1" s="104"/>
      <c r="C1" s="105"/>
      <c r="D1" s="105"/>
      <c r="E1" s="105"/>
      <c r="F1" s="105"/>
      <c r="G1" s="105"/>
      <c r="H1" s="105"/>
      <c r="I1" s="105"/>
      <c r="J1" s="105"/>
      <c r="K1" s="106"/>
    </row>
    <row r="2" spans="1:11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1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3599</v>
      </c>
      <c r="F3" s="114" t="s">
        <v>6</v>
      </c>
      <c r="G3" s="114" t="s">
        <v>3856</v>
      </c>
      <c r="H3" s="114"/>
      <c r="I3" s="114" t="s">
        <v>3857</v>
      </c>
      <c r="J3" s="114" t="s">
        <v>11</v>
      </c>
      <c r="K3" s="99" t="s">
        <v>12</v>
      </c>
    </row>
    <row r="4" spans="1:11" s="1" customFormat="1" ht="21" customHeight="1" thickBot="1">
      <c r="A4" s="111"/>
      <c r="B4" s="116"/>
      <c r="C4" s="113"/>
      <c r="D4" s="113"/>
      <c r="E4" s="113"/>
      <c r="F4" s="113"/>
      <c r="G4" s="96" t="s">
        <v>3858</v>
      </c>
      <c r="H4" s="97" t="s">
        <v>3859</v>
      </c>
      <c r="I4" s="113"/>
      <c r="J4" s="113"/>
      <c r="K4" s="100"/>
    </row>
    <row r="5" spans="1:11" ht="15.95">
      <c r="A5" s="101" t="s">
        <v>141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1">
      <c r="A6" s="10" t="s">
        <v>15</v>
      </c>
      <c r="B6" s="7" t="s">
        <v>4088</v>
      </c>
      <c r="C6" s="7" t="s">
        <v>4089</v>
      </c>
      <c r="D6" s="7" t="s">
        <v>4090</v>
      </c>
      <c r="E6" s="7" t="str">
        <f>"1,0844"</f>
        <v>1,0844</v>
      </c>
      <c r="F6" s="7" t="s">
        <v>2142</v>
      </c>
      <c r="G6" s="10" t="s">
        <v>4071</v>
      </c>
      <c r="H6" s="27">
        <v>37</v>
      </c>
      <c r="I6" s="10" t="str">
        <f>"1017,5"</f>
        <v>1017,5</v>
      </c>
      <c r="J6" s="10" t="str">
        <f>"1103,3771"</f>
        <v>1103,3771</v>
      </c>
      <c r="K6" s="7" t="s">
        <v>158</v>
      </c>
    </row>
    <row r="7" spans="1:11">
      <c r="B7" s="5" t="s">
        <v>40</v>
      </c>
    </row>
    <row r="8" spans="1:11" ht="15.95">
      <c r="A8" s="102" t="s">
        <v>195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1">
      <c r="A9" s="13" t="s">
        <v>15</v>
      </c>
      <c r="B9" s="11" t="s">
        <v>4091</v>
      </c>
      <c r="C9" s="11" t="s">
        <v>4092</v>
      </c>
      <c r="D9" s="11" t="s">
        <v>4093</v>
      </c>
      <c r="E9" s="11" t="str">
        <f>"1,0051"</f>
        <v>1,0051</v>
      </c>
      <c r="F9" s="11" t="s">
        <v>91</v>
      </c>
      <c r="G9" s="13" t="s">
        <v>3063</v>
      </c>
      <c r="H9" s="28">
        <v>58</v>
      </c>
      <c r="I9" s="13" t="str">
        <f>"1740,0"</f>
        <v>1740,0</v>
      </c>
      <c r="J9" s="13" t="str">
        <f>"1748,8740"</f>
        <v>1748,8740</v>
      </c>
      <c r="K9" s="11" t="s">
        <v>158</v>
      </c>
    </row>
    <row r="10" spans="1:11">
      <c r="A10" s="20" t="s">
        <v>15</v>
      </c>
      <c r="B10" s="18" t="s">
        <v>4091</v>
      </c>
      <c r="C10" s="18" t="s">
        <v>4094</v>
      </c>
      <c r="D10" s="18" t="s">
        <v>4093</v>
      </c>
      <c r="E10" s="18" t="str">
        <f>"1,0051"</f>
        <v>1,0051</v>
      </c>
      <c r="F10" s="18" t="s">
        <v>91</v>
      </c>
      <c r="G10" s="20" t="s">
        <v>3063</v>
      </c>
      <c r="H10" s="26">
        <v>58</v>
      </c>
      <c r="I10" s="20" t="str">
        <f>"1740,0"</f>
        <v>1740,0</v>
      </c>
      <c r="J10" s="20" t="str">
        <f>"1748,8740"</f>
        <v>1748,8740</v>
      </c>
      <c r="K10" s="18" t="s">
        <v>158</v>
      </c>
    </row>
    <row r="11" spans="1:11">
      <c r="B11" s="5" t="s">
        <v>40</v>
      </c>
    </row>
    <row r="12" spans="1:11" ht="15.95">
      <c r="A12" s="102" t="s">
        <v>195</v>
      </c>
      <c r="B12" s="102"/>
      <c r="C12" s="102"/>
      <c r="D12" s="102"/>
      <c r="E12" s="102"/>
      <c r="F12" s="102"/>
      <c r="G12" s="102"/>
      <c r="H12" s="102"/>
      <c r="I12" s="102"/>
      <c r="J12" s="102"/>
    </row>
    <row r="13" spans="1:11">
      <c r="A13" s="10" t="s">
        <v>15</v>
      </c>
      <c r="B13" s="7" t="s">
        <v>4095</v>
      </c>
      <c r="C13" s="7" t="s">
        <v>4096</v>
      </c>
      <c r="D13" s="7" t="s">
        <v>4097</v>
      </c>
      <c r="E13" s="7" t="str">
        <f>"0,8749"</f>
        <v>0,8749</v>
      </c>
      <c r="F13" s="7" t="s">
        <v>2071</v>
      </c>
      <c r="G13" s="10" t="s">
        <v>3063</v>
      </c>
      <c r="H13" s="27">
        <v>132</v>
      </c>
      <c r="I13" s="10" t="str">
        <f>"3960,0"</f>
        <v>3960,0</v>
      </c>
      <c r="J13" s="10" t="str">
        <f>"3464,6039"</f>
        <v>3464,6039</v>
      </c>
      <c r="K13" s="7" t="s">
        <v>941</v>
      </c>
    </row>
    <row r="14" spans="1:11">
      <c r="B14" s="5" t="s">
        <v>40</v>
      </c>
    </row>
    <row r="15" spans="1:11" ht="15.95">
      <c r="A15" s="102" t="s">
        <v>241</v>
      </c>
      <c r="B15" s="102"/>
      <c r="C15" s="102"/>
      <c r="D15" s="102"/>
      <c r="E15" s="102"/>
      <c r="F15" s="102"/>
      <c r="G15" s="102"/>
      <c r="H15" s="102"/>
      <c r="I15" s="102"/>
      <c r="J15" s="102"/>
    </row>
    <row r="16" spans="1:11">
      <c r="A16" s="10" t="s">
        <v>15</v>
      </c>
      <c r="B16" s="7" t="s">
        <v>2467</v>
      </c>
      <c r="C16" s="7" t="s">
        <v>3867</v>
      </c>
      <c r="D16" s="7" t="s">
        <v>2469</v>
      </c>
      <c r="E16" s="7" t="str">
        <f>"0,7551"</f>
        <v>0,7551</v>
      </c>
      <c r="F16" s="7" t="s">
        <v>2470</v>
      </c>
      <c r="G16" s="10" t="s">
        <v>20</v>
      </c>
      <c r="H16" s="27">
        <v>200</v>
      </c>
      <c r="I16" s="10" t="str">
        <f>"7000,0"</f>
        <v>7000,0</v>
      </c>
      <c r="J16" s="10" t="str">
        <f>"7664,2651"</f>
        <v>7664,2651</v>
      </c>
      <c r="K16" s="7" t="s">
        <v>2471</v>
      </c>
    </row>
    <row r="17" spans="1:11">
      <c r="B17" s="5" t="s">
        <v>40</v>
      </c>
    </row>
    <row r="18" spans="1:11" ht="15.95">
      <c r="A18" s="102" t="s">
        <v>301</v>
      </c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11">
      <c r="A19" s="13" t="s">
        <v>15</v>
      </c>
      <c r="B19" s="11" t="s">
        <v>4098</v>
      </c>
      <c r="C19" s="11" t="s">
        <v>4099</v>
      </c>
      <c r="D19" s="11" t="s">
        <v>331</v>
      </c>
      <c r="E19" s="11" t="str">
        <f>"0,6885"</f>
        <v>0,6885</v>
      </c>
      <c r="F19" s="11" t="s">
        <v>1036</v>
      </c>
      <c r="G19" s="13" t="s">
        <v>135</v>
      </c>
      <c r="H19" s="28">
        <v>30</v>
      </c>
      <c r="I19" s="13" t="str">
        <f>"1125,0"</f>
        <v>1125,0</v>
      </c>
      <c r="J19" s="13" t="str">
        <f>"1587,9684"</f>
        <v>1587,9684</v>
      </c>
      <c r="K19" s="11" t="s">
        <v>158</v>
      </c>
    </row>
    <row r="20" spans="1:11">
      <c r="A20" s="20" t="s">
        <v>62</v>
      </c>
      <c r="B20" s="18" t="s">
        <v>4100</v>
      </c>
      <c r="C20" s="18" t="s">
        <v>4101</v>
      </c>
      <c r="D20" s="18" t="s">
        <v>402</v>
      </c>
      <c r="E20" s="18" t="str">
        <f>"0,7049"</f>
        <v>0,7049</v>
      </c>
      <c r="F20" s="18" t="s">
        <v>2418</v>
      </c>
      <c r="G20" s="20" t="s">
        <v>135</v>
      </c>
      <c r="H20" s="26">
        <v>24</v>
      </c>
      <c r="I20" s="20" t="str">
        <f>"900,0"</f>
        <v>900,0</v>
      </c>
      <c r="J20" s="20" t="str">
        <f>"1021,3277"</f>
        <v>1021,3277</v>
      </c>
      <c r="K20" s="18" t="s">
        <v>4102</v>
      </c>
    </row>
    <row r="21" spans="1:11">
      <c r="B21" s="5" t="s">
        <v>40</v>
      </c>
    </row>
    <row r="22" spans="1:11" ht="15.95">
      <c r="A22" s="102" t="s">
        <v>334</v>
      </c>
      <c r="B22" s="102"/>
      <c r="C22" s="102"/>
      <c r="D22" s="102"/>
      <c r="E22" s="102"/>
      <c r="F22" s="102"/>
      <c r="G22" s="102"/>
      <c r="H22" s="102"/>
      <c r="I22" s="102"/>
      <c r="J22" s="102"/>
    </row>
    <row r="23" spans="1:11">
      <c r="A23" s="13" t="s">
        <v>15</v>
      </c>
      <c r="B23" s="11" t="s">
        <v>4103</v>
      </c>
      <c r="C23" s="11" t="s">
        <v>4104</v>
      </c>
      <c r="D23" s="11" t="s">
        <v>3882</v>
      </c>
      <c r="E23" s="11" t="str">
        <f>"0,6589"</f>
        <v>0,6589</v>
      </c>
      <c r="F23" s="11" t="s">
        <v>4105</v>
      </c>
      <c r="G23" s="13" t="s">
        <v>21</v>
      </c>
      <c r="H23" s="28">
        <v>161</v>
      </c>
      <c r="I23" s="13" t="str">
        <f>"6440,0"</f>
        <v>6440,0</v>
      </c>
      <c r="J23" s="13" t="str">
        <f>"6280,5840"</f>
        <v>6280,5840</v>
      </c>
      <c r="K23" s="11" t="s">
        <v>4106</v>
      </c>
    </row>
    <row r="24" spans="1:11">
      <c r="A24" s="20" t="s">
        <v>62</v>
      </c>
      <c r="B24" s="18" t="s">
        <v>4107</v>
      </c>
      <c r="C24" s="18" t="s">
        <v>4108</v>
      </c>
      <c r="D24" s="18" t="s">
        <v>4109</v>
      </c>
      <c r="E24" s="18" t="str">
        <f>"0,6737"</f>
        <v>0,6737</v>
      </c>
      <c r="F24" s="18" t="s">
        <v>1279</v>
      </c>
      <c r="G24" s="20" t="s">
        <v>21</v>
      </c>
      <c r="H24" s="26">
        <v>52</v>
      </c>
      <c r="I24" s="20" t="str">
        <f>"2080,0"</f>
        <v>2080,0</v>
      </c>
      <c r="J24" s="20" t="str">
        <f>"2628,6363"</f>
        <v>2628,6363</v>
      </c>
      <c r="K24" s="18" t="s">
        <v>158</v>
      </c>
    </row>
    <row r="25" spans="1:11">
      <c r="B25" s="5" t="s">
        <v>40</v>
      </c>
    </row>
    <row r="26" spans="1:11" ht="15.95">
      <c r="A26" s="102" t="s">
        <v>598</v>
      </c>
      <c r="B26" s="102"/>
      <c r="C26" s="102"/>
      <c r="D26" s="102"/>
      <c r="E26" s="102"/>
      <c r="F26" s="102"/>
      <c r="G26" s="102"/>
      <c r="H26" s="102"/>
      <c r="I26" s="102"/>
      <c r="J26" s="102"/>
    </row>
    <row r="27" spans="1:11">
      <c r="A27" s="13" t="s">
        <v>15</v>
      </c>
      <c r="B27" s="11" t="s">
        <v>1108</v>
      </c>
      <c r="C27" s="11" t="s">
        <v>1109</v>
      </c>
      <c r="D27" s="11" t="s">
        <v>625</v>
      </c>
      <c r="E27" s="11" t="str">
        <f>"0,6137"</f>
        <v>0,6137</v>
      </c>
      <c r="F27" s="11" t="s">
        <v>1110</v>
      </c>
      <c r="G27" s="13" t="s">
        <v>82</v>
      </c>
      <c r="H27" s="28">
        <v>46</v>
      </c>
      <c r="I27" s="13" t="str">
        <f>"2070,0"</f>
        <v>2070,0</v>
      </c>
      <c r="J27" s="13" t="str">
        <f>"1340,3379"</f>
        <v>1340,3379</v>
      </c>
      <c r="K27" s="11" t="s">
        <v>2248</v>
      </c>
    </row>
    <row r="28" spans="1:11">
      <c r="A28" s="17" t="s">
        <v>15</v>
      </c>
      <c r="B28" s="14" t="s">
        <v>4110</v>
      </c>
      <c r="C28" s="14" t="s">
        <v>4111</v>
      </c>
      <c r="D28" s="14" t="s">
        <v>2681</v>
      </c>
      <c r="E28" s="14" t="str">
        <f>"0,6173"</f>
        <v>0,6173</v>
      </c>
      <c r="F28" s="14" t="s">
        <v>119</v>
      </c>
      <c r="G28" s="17" t="s">
        <v>82</v>
      </c>
      <c r="H28" s="43">
        <v>69</v>
      </c>
      <c r="I28" s="17" t="str">
        <f>"3105,0"</f>
        <v>3105,0</v>
      </c>
      <c r="J28" s="17" t="str">
        <f>"2669,9860"</f>
        <v>2669,9860</v>
      </c>
      <c r="K28" s="14" t="s">
        <v>158</v>
      </c>
    </row>
    <row r="29" spans="1:11">
      <c r="A29" s="20" t="s">
        <v>62</v>
      </c>
      <c r="B29" s="18" t="s">
        <v>4112</v>
      </c>
      <c r="C29" s="18" t="s">
        <v>4113</v>
      </c>
      <c r="D29" s="18" t="s">
        <v>4114</v>
      </c>
      <c r="E29" s="18" t="str">
        <f>"0,6436"</f>
        <v>0,6436</v>
      </c>
      <c r="F29" s="18" t="s">
        <v>906</v>
      </c>
      <c r="G29" s="20" t="s">
        <v>22</v>
      </c>
      <c r="H29" s="26">
        <v>46</v>
      </c>
      <c r="I29" s="20" t="str">
        <f>"1955,0"</f>
        <v>1955,0</v>
      </c>
      <c r="J29" s="20" t="str">
        <f>"1752,7255"</f>
        <v>1752,7255</v>
      </c>
      <c r="K29" s="18" t="s">
        <v>158</v>
      </c>
    </row>
    <row r="30" spans="1:11">
      <c r="B30" s="5" t="s">
        <v>40</v>
      </c>
    </row>
    <row r="31" spans="1:11" ht="15.95">
      <c r="A31" s="102" t="s">
        <v>670</v>
      </c>
      <c r="B31" s="102"/>
      <c r="C31" s="102"/>
      <c r="D31" s="102"/>
      <c r="E31" s="102"/>
      <c r="F31" s="102"/>
      <c r="G31" s="102"/>
      <c r="H31" s="102"/>
      <c r="I31" s="102"/>
      <c r="J31" s="102"/>
    </row>
    <row r="32" spans="1:11">
      <c r="A32" s="13" t="s">
        <v>15</v>
      </c>
      <c r="B32" s="11" t="s">
        <v>3296</v>
      </c>
      <c r="C32" s="11" t="s">
        <v>3297</v>
      </c>
      <c r="D32" s="11" t="s">
        <v>3282</v>
      </c>
      <c r="E32" s="11" t="str">
        <f>"0,5835"</f>
        <v>0,5835</v>
      </c>
      <c r="F32" s="11" t="s">
        <v>3169</v>
      </c>
      <c r="G32" s="13" t="s">
        <v>103</v>
      </c>
      <c r="H32" s="28">
        <v>55</v>
      </c>
      <c r="I32" s="13" t="str">
        <f>"2750,0"</f>
        <v>2750,0</v>
      </c>
      <c r="J32" s="13" t="str">
        <f>"1620,8101"</f>
        <v>1620,8101</v>
      </c>
      <c r="K32" s="11" t="s">
        <v>158</v>
      </c>
    </row>
    <row r="33" spans="1:11">
      <c r="A33" s="17" t="s">
        <v>15</v>
      </c>
      <c r="B33" s="14" t="s">
        <v>4115</v>
      </c>
      <c r="C33" s="14" t="s">
        <v>4116</v>
      </c>
      <c r="D33" s="14" t="s">
        <v>4117</v>
      </c>
      <c r="E33" s="14" t="str">
        <f>"0,5990"</f>
        <v>0,5990</v>
      </c>
      <c r="F33" s="14" t="s">
        <v>2763</v>
      </c>
      <c r="G33" s="17" t="s">
        <v>83</v>
      </c>
      <c r="H33" s="43">
        <v>78</v>
      </c>
      <c r="I33" s="17" t="str">
        <f>"3705,0"</f>
        <v>3705,0</v>
      </c>
      <c r="J33" s="17" t="str">
        <f>"3031,5569"</f>
        <v>3031,5569</v>
      </c>
      <c r="K33" s="14" t="s">
        <v>158</v>
      </c>
    </row>
    <row r="34" spans="1:11">
      <c r="A34" s="20" t="s">
        <v>62</v>
      </c>
      <c r="B34" s="18" t="s">
        <v>4118</v>
      </c>
      <c r="C34" s="18" t="s">
        <v>4119</v>
      </c>
      <c r="D34" s="18" t="s">
        <v>1816</v>
      </c>
      <c r="E34" s="18" t="str">
        <f>"0,5958"</f>
        <v>0,5958</v>
      </c>
      <c r="F34" s="18" t="s">
        <v>1036</v>
      </c>
      <c r="G34" s="20" t="s">
        <v>83</v>
      </c>
      <c r="H34" s="26">
        <v>72</v>
      </c>
      <c r="I34" s="20" t="str">
        <f>"3420,0"</f>
        <v>3420,0</v>
      </c>
      <c r="J34" s="20" t="str">
        <f>"3015,9543"</f>
        <v>3015,9543</v>
      </c>
      <c r="K34" s="18" t="s">
        <v>158</v>
      </c>
    </row>
    <row r="35" spans="1:11">
      <c r="B35" s="5" t="s">
        <v>40</v>
      </c>
    </row>
    <row r="36" spans="1:11" ht="15.95">
      <c r="A36" s="102" t="s">
        <v>724</v>
      </c>
      <c r="B36" s="102"/>
      <c r="C36" s="102"/>
      <c r="D36" s="102"/>
      <c r="E36" s="102"/>
      <c r="F36" s="102"/>
      <c r="G36" s="102"/>
      <c r="H36" s="102"/>
      <c r="I36" s="102"/>
      <c r="J36" s="102"/>
    </row>
    <row r="37" spans="1:11">
      <c r="A37" s="10" t="s">
        <v>15</v>
      </c>
      <c r="B37" s="7" t="s">
        <v>3423</v>
      </c>
      <c r="C37" s="7" t="s">
        <v>4120</v>
      </c>
      <c r="D37" s="7" t="s">
        <v>3425</v>
      </c>
      <c r="E37" s="7" t="str">
        <f>"0,5753"</f>
        <v>0,5753</v>
      </c>
      <c r="F37" s="7" t="s">
        <v>1204</v>
      </c>
      <c r="G37" s="10" t="s">
        <v>34</v>
      </c>
      <c r="H37" s="27">
        <v>70</v>
      </c>
      <c r="I37" s="10" t="str">
        <f>"3675,0"</f>
        <v>3675,0</v>
      </c>
      <c r="J37" s="10" t="str">
        <f>"2887,7839"</f>
        <v>2887,7839</v>
      </c>
      <c r="K37" s="7" t="s">
        <v>3426</v>
      </c>
    </row>
    <row r="38" spans="1:11">
      <c r="B38" s="5" t="s">
        <v>40</v>
      </c>
    </row>
    <row r="39" spans="1:11" ht="15.95">
      <c r="A39" s="102" t="s">
        <v>783</v>
      </c>
      <c r="B39" s="102"/>
      <c r="C39" s="102"/>
      <c r="D39" s="102"/>
      <c r="E39" s="102"/>
      <c r="F39" s="102"/>
      <c r="G39" s="102"/>
      <c r="H39" s="102"/>
      <c r="I39" s="102"/>
      <c r="J39" s="102"/>
    </row>
    <row r="40" spans="1:11">
      <c r="A40" s="10" t="s">
        <v>15</v>
      </c>
      <c r="B40" s="7" t="s">
        <v>3430</v>
      </c>
      <c r="C40" s="7" t="s">
        <v>4040</v>
      </c>
      <c r="D40" s="7" t="s">
        <v>1916</v>
      </c>
      <c r="E40" s="7" t="str">
        <f>"0,5519"</f>
        <v>0,5519</v>
      </c>
      <c r="F40" s="7" t="s">
        <v>1238</v>
      </c>
      <c r="G40" s="10" t="s">
        <v>26</v>
      </c>
      <c r="H40" s="27">
        <v>46</v>
      </c>
      <c r="I40" s="10" t="str">
        <f>"2760,0"</f>
        <v>2760,0</v>
      </c>
      <c r="J40" s="10" t="str">
        <f>"1523,1061"</f>
        <v>1523,1061</v>
      </c>
      <c r="K40" s="7" t="s">
        <v>3433</v>
      </c>
    </row>
    <row r="41" spans="1:11">
      <c r="B41" s="5" t="s">
        <v>40</v>
      </c>
    </row>
    <row r="44" spans="1:11" ht="18">
      <c r="B44" s="23" t="s">
        <v>830</v>
      </c>
      <c r="C44" s="23"/>
    </row>
    <row r="45" spans="1:11" ht="15.95">
      <c r="B45" s="95" t="s">
        <v>855</v>
      </c>
      <c r="C45" s="95"/>
    </row>
    <row r="46" spans="1:11" ht="14.1">
      <c r="B46" s="24"/>
      <c r="C46" s="24" t="s">
        <v>847</v>
      </c>
    </row>
    <row r="47" spans="1:11" ht="14.1">
      <c r="B47" s="4" t="s">
        <v>833</v>
      </c>
      <c r="C47" s="4" t="s">
        <v>834</v>
      </c>
      <c r="D47" s="4" t="s">
        <v>835</v>
      </c>
      <c r="E47" s="4" t="s">
        <v>3857</v>
      </c>
      <c r="F47" s="4" t="s">
        <v>3650</v>
      </c>
    </row>
    <row r="48" spans="1:11">
      <c r="B48" s="5" t="s">
        <v>2467</v>
      </c>
      <c r="C48" s="5" t="s">
        <v>3954</v>
      </c>
      <c r="D48" s="6" t="s">
        <v>844</v>
      </c>
      <c r="E48" s="6" t="s">
        <v>4121</v>
      </c>
      <c r="F48" s="6" t="s">
        <v>4122</v>
      </c>
    </row>
    <row r="49" spans="2:6">
      <c r="B49" s="5" t="s">
        <v>4103</v>
      </c>
      <c r="C49" s="5" t="s">
        <v>3954</v>
      </c>
      <c r="D49" s="6" t="s">
        <v>868</v>
      </c>
      <c r="E49" s="6" t="s">
        <v>4123</v>
      </c>
      <c r="F49" s="6" t="s">
        <v>4124</v>
      </c>
    </row>
    <row r="50" spans="2:6">
      <c r="B50" s="5" t="s">
        <v>4115</v>
      </c>
      <c r="C50" s="5" t="s">
        <v>3954</v>
      </c>
      <c r="D50" s="6" t="s">
        <v>888</v>
      </c>
      <c r="E50" s="6" t="s">
        <v>4125</v>
      </c>
      <c r="F50" s="6" t="s">
        <v>4126</v>
      </c>
    </row>
    <row r="51" spans="2:6">
      <c r="B51" s="5" t="s">
        <v>40</v>
      </c>
    </row>
  </sheetData>
  <mergeCells count="21">
    <mergeCell ref="A39:J39"/>
    <mergeCell ref="B3:B4"/>
    <mergeCell ref="A15:J15"/>
    <mergeCell ref="A18:J18"/>
    <mergeCell ref="A22:J22"/>
    <mergeCell ref="A26:J26"/>
    <mergeCell ref="A31:J31"/>
    <mergeCell ref="A36:J36"/>
    <mergeCell ref="I3:I4"/>
    <mergeCell ref="J3:J4"/>
    <mergeCell ref="K3:K4"/>
    <mergeCell ref="A5:J5"/>
    <mergeCell ref="A8:J8"/>
    <mergeCell ref="A12:J12"/>
    <mergeCell ref="A1:K2"/>
    <mergeCell ref="A3:A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70"/>
  <sheetViews>
    <sheetView workbookViewId="0">
      <selection sqref="A1:M2"/>
    </sheetView>
  </sheetViews>
  <sheetFormatPr defaultColWidth="9.140625" defaultRowHeight="12.95"/>
  <cols>
    <col min="1" max="1" width="7.42578125" style="6" bestFit="1" customWidth="1"/>
    <col min="2" max="2" width="20.7109375" style="5" bestFit="1" customWidth="1"/>
    <col min="3" max="3" width="28.42578125" style="5" bestFit="1" customWidth="1"/>
    <col min="4" max="4" width="21.42578125" style="5" bestFit="1" customWidth="1"/>
    <col min="5" max="5" width="10.42578125" style="5" bestFit="1" customWidth="1"/>
    <col min="6" max="6" width="23.42578125" style="5" bestFit="1" customWidth="1"/>
    <col min="7" max="9" width="5.42578125" style="6" bestFit="1" customWidth="1"/>
    <col min="10" max="10" width="4.85546875" style="6" bestFit="1" customWidth="1"/>
    <col min="11" max="11" width="11.28515625" style="6" bestFit="1" customWidth="1"/>
    <col min="12" max="12" width="8.42578125" style="6" bestFit="1" customWidth="1"/>
    <col min="13" max="13" width="15.7109375" style="5" bestFit="1" customWidth="1"/>
    <col min="14" max="16384" width="9.140625" style="3"/>
  </cols>
  <sheetData>
    <row r="1" spans="1:13" s="2" customFormat="1" ht="29.1" customHeight="1">
      <c r="A1" s="103" t="s">
        <v>4127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3599</v>
      </c>
      <c r="F3" s="114" t="s">
        <v>6</v>
      </c>
      <c r="G3" s="114" t="s">
        <v>8</v>
      </c>
      <c r="H3" s="114"/>
      <c r="I3" s="114"/>
      <c r="J3" s="114"/>
      <c r="K3" s="114" t="s">
        <v>2294</v>
      </c>
      <c r="L3" s="114" t="s">
        <v>11</v>
      </c>
      <c r="M3" s="99" t="s">
        <v>12</v>
      </c>
    </row>
    <row r="4" spans="1:13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113"/>
      <c r="L4" s="113"/>
      <c r="M4" s="100"/>
    </row>
    <row r="5" spans="1:13" ht="15.95">
      <c r="A5" s="101" t="s">
        <v>41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3">
      <c r="A6" s="10" t="s">
        <v>15</v>
      </c>
      <c r="B6" s="7" t="s">
        <v>4128</v>
      </c>
      <c r="C6" s="7" t="s">
        <v>345</v>
      </c>
      <c r="D6" s="7" t="s">
        <v>4129</v>
      </c>
      <c r="E6" s="7" t="str">
        <f>"1,2000"</f>
        <v>1,2000</v>
      </c>
      <c r="F6" s="7" t="s">
        <v>91</v>
      </c>
      <c r="G6" s="8" t="s">
        <v>3063</v>
      </c>
      <c r="H6" s="9" t="s">
        <v>20</v>
      </c>
      <c r="I6" s="8" t="s">
        <v>21</v>
      </c>
      <c r="J6" s="10"/>
      <c r="K6" s="10" t="str">
        <f>"40,0"</f>
        <v>40,0</v>
      </c>
      <c r="L6" s="10" t="str">
        <f>"48,0000"</f>
        <v>48,0000</v>
      </c>
      <c r="M6" s="7" t="s">
        <v>158</v>
      </c>
    </row>
    <row r="7" spans="1:13">
      <c r="B7" s="5" t="s">
        <v>40</v>
      </c>
    </row>
    <row r="8" spans="1:13" ht="15.95">
      <c r="A8" s="102" t="s">
        <v>241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3">
      <c r="A9" s="10" t="s">
        <v>15</v>
      </c>
      <c r="B9" s="7" t="s">
        <v>4130</v>
      </c>
      <c r="C9" s="7" t="s">
        <v>4131</v>
      </c>
      <c r="D9" s="7" t="s">
        <v>377</v>
      </c>
      <c r="E9" s="7" t="str">
        <f>"0,9123"</f>
        <v>0,9123</v>
      </c>
      <c r="F9" s="7" t="s">
        <v>91</v>
      </c>
      <c r="G9" s="8" t="s">
        <v>57</v>
      </c>
      <c r="H9" s="8" t="s">
        <v>140</v>
      </c>
      <c r="I9" s="8" t="s">
        <v>104</v>
      </c>
      <c r="J9" s="10"/>
      <c r="K9" s="10" t="str">
        <f>"77,5"</f>
        <v>77,5</v>
      </c>
      <c r="L9" s="10" t="str">
        <f>"70,7071"</f>
        <v>70,7071</v>
      </c>
      <c r="M9" s="7" t="s">
        <v>4132</v>
      </c>
    </row>
    <row r="10" spans="1:13">
      <c r="B10" s="5" t="s">
        <v>40</v>
      </c>
    </row>
    <row r="11" spans="1:13" ht="15.95">
      <c r="A11" s="102" t="s">
        <v>301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3">
      <c r="A12" s="13" t="s">
        <v>15</v>
      </c>
      <c r="B12" s="11" t="s">
        <v>4133</v>
      </c>
      <c r="C12" s="11" t="s">
        <v>4134</v>
      </c>
      <c r="D12" s="11" t="s">
        <v>4135</v>
      </c>
      <c r="E12" s="11" t="str">
        <f>"0,8899"</f>
        <v>0,8899</v>
      </c>
      <c r="F12" s="11" t="s">
        <v>4136</v>
      </c>
      <c r="G12" s="12" t="s">
        <v>25</v>
      </c>
      <c r="H12" s="12" t="s">
        <v>35</v>
      </c>
      <c r="I12" s="12" t="s">
        <v>26</v>
      </c>
      <c r="J12" s="13"/>
      <c r="K12" s="13" t="str">
        <f>"60,0"</f>
        <v>60,0</v>
      </c>
      <c r="L12" s="13" t="str">
        <f>"65,4040"</f>
        <v>65,4040</v>
      </c>
      <c r="M12" s="11" t="s">
        <v>4137</v>
      </c>
    </row>
    <row r="13" spans="1:13">
      <c r="A13" s="20" t="s">
        <v>15</v>
      </c>
      <c r="B13" s="18" t="s">
        <v>4138</v>
      </c>
      <c r="C13" s="18" t="s">
        <v>4139</v>
      </c>
      <c r="D13" s="18" t="s">
        <v>313</v>
      </c>
      <c r="E13" s="18" t="str">
        <f>"0,8376"</f>
        <v>0,8376</v>
      </c>
      <c r="F13" s="18" t="s">
        <v>4140</v>
      </c>
      <c r="G13" s="19" t="s">
        <v>25</v>
      </c>
      <c r="H13" s="19" t="s">
        <v>35</v>
      </c>
      <c r="I13" s="22" t="s">
        <v>26</v>
      </c>
      <c r="J13" s="20"/>
      <c r="K13" s="20" t="str">
        <f>"57,5"</f>
        <v>57,5</v>
      </c>
      <c r="L13" s="20" t="str">
        <f>"82,7423"</f>
        <v>82,7423</v>
      </c>
      <c r="M13" s="18" t="s">
        <v>4141</v>
      </c>
    </row>
    <row r="14" spans="1:13">
      <c r="B14" s="5" t="s">
        <v>40</v>
      </c>
    </row>
    <row r="15" spans="1:13" ht="15.95">
      <c r="A15" s="102" t="s">
        <v>334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1:13">
      <c r="A16" s="10" t="s">
        <v>15</v>
      </c>
      <c r="B16" s="7" t="s">
        <v>4142</v>
      </c>
      <c r="C16" s="7" t="s">
        <v>2872</v>
      </c>
      <c r="D16" s="7" t="s">
        <v>4143</v>
      </c>
      <c r="E16" s="7" t="str">
        <f>"0,8253"</f>
        <v>0,8253</v>
      </c>
      <c r="F16" s="7" t="s">
        <v>91</v>
      </c>
      <c r="G16" s="8" t="s">
        <v>81</v>
      </c>
      <c r="H16" s="8" t="s">
        <v>67</v>
      </c>
      <c r="I16" s="9" t="s">
        <v>36</v>
      </c>
      <c r="J16" s="10"/>
      <c r="K16" s="10" t="str">
        <f>"85,0"</f>
        <v>85,0</v>
      </c>
      <c r="L16" s="10" t="str">
        <f>"70,1463"</f>
        <v>70,1463</v>
      </c>
      <c r="M16" s="7" t="s">
        <v>4144</v>
      </c>
    </row>
    <row r="17" spans="1:13">
      <c r="B17" s="5" t="s">
        <v>40</v>
      </c>
    </row>
    <row r="18" spans="1:13" ht="15.95">
      <c r="A18" s="102" t="s">
        <v>598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1:13">
      <c r="A19" s="10" t="s">
        <v>15</v>
      </c>
      <c r="B19" s="7" t="s">
        <v>4145</v>
      </c>
      <c r="C19" s="7" t="s">
        <v>4146</v>
      </c>
      <c r="D19" s="7" t="s">
        <v>4147</v>
      </c>
      <c r="E19" s="7" t="str">
        <f>"0,7661"</f>
        <v>0,7661</v>
      </c>
      <c r="F19" s="7" t="s">
        <v>4136</v>
      </c>
      <c r="G19" s="8" t="s">
        <v>80</v>
      </c>
      <c r="H19" s="8" t="s">
        <v>81</v>
      </c>
      <c r="I19" s="8" t="s">
        <v>146</v>
      </c>
      <c r="J19" s="10"/>
      <c r="K19" s="10" t="str">
        <f>"82,5"</f>
        <v>82,5</v>
      </c>
      <c r="L19" s="10" t="str">
        <f>"86,3356"</f>
        <v>86,3356</v>
      </c>
      <c r="M19" s="7" t="s">
        <v>4106</v>
      </c>
    </row>
    <row r="20" spans="1:13">
      <c r="B20" s="5" t="s">
        <v>40</v>
      </c>
    </row>
    <row r="21" spans="1:13" ht="15.95">
      <c r="A21" s="102" t="s">
        <v>41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1:13">
      <c r="A22" s="10" t="s">
        <v>15</v>
      </c>
      <c r="B22" s="7" t="s">
        <v>4148</v>
      </c>
      <c r="C22" s="7" t="s">
        <v>4149</v>
      </c>
      <c r="D22" s="7" t="s">
        <v>4150</v>
      </c>
      <c r="E22" s="7" t="str">
        <f>"1,3243"</f>
        <v>1,3243</v>
      </c>
      <c r="F22" s="7" t="s">
        <v>3872</v>
      </c>
      <c r="G22" s="8" t="s">
        <v>81</v>
      </c>
      <c r="H22" s="8" t="s">
        <v>120</v>
      </c>
      <c r="I22" s="8" t="s">
        <v>37</v>
      </c>
      <c r="J22" s="10"/>
      <c r="K22" s="10" t="str">
        <f>"95,0"</f>
        <v>95,0</v>
      </c>
      <c r="L22" s="10" t="str">
        <f>"125,8132"</f>
        <v>125,8132</v>
      </c>
      <c r="M22" s="7" t="s">
        <v>4137</v>
      </c>
    </row>
    <row r="23" spans="1:13">
      <c r="B23" s="5" t="s">
        <v>40</v>
      </c>
    </row>
    <row r="24" spans="1:13" ht="15.95">
      <c r="A24" s="102" t="s">
        <v>141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1:13">
      <c r="A25" s="10" t="s">
        <v>15</v>
      </c>
      <c r="B25" s="7" t="s">
        <v>4151</v>
      </c>
      <c r="C25" s="7" t="s">
        <v>4152</v>
      </c>
      <c r="D25" s="7" t="s">
        <v>4153</v>
      </c>
      <c r="E25" s="7" t="str">
        <f>"0,8959"</f>
        <v>0,8959</v>
      </c>
      <c r="F25" s="7" t="s">
        <v>222</v>
      </c>
      <c r="G25" s="8" t="s">
        <v>67</v>
      </c>
      <c r="H25" s="8" t="s">
        <v>36</v>
      </c>
      <c r="I25" s="9" t="s">
        <v>68</v>
      </c>
      <c r="J25" s="10"/>
      <c r="K25" s="10" t="str">
        <f>"90,0"</f>
        <v>90,0</v>
      </c>
      <c r="L25" s="10" t="str">
        <f>"80,6265"</f>
        <v>80,6265</v>
      </c>
      <c r="M25" s="7" t="s">
        <v>4154</v>
      </c>
    </row>
    <row r="26" spans="1:13">
      <c r="B26" s="5" t="s">
        <v>40</v>
      </c>
    </row>
    <row r="27" spans="1:13" ht="15.95">
      <c r="A27" s="102" t="s">
        <v>195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1:13">
      <c r="A28" s="10" t="s">
        <v>15</v>
      </c>
      <c r="B28" s="7" t="s">
        <v>4155</v>
      </c>
      <c r="C28" s="7" t="s">
        <v>4156</v>
      </c>
      <c r="D28" s="7" t="s">
        <v>198</v>
      </c>
      <c r="E28" s="7" t="str">
        <f>"0,8411"</f>
        <v>0,8411</v>
      </c>
      <c r="F28" s="7" t="s">
        <v>4157</v>
      </c>
      <c r="G28" s="8" t="s">
        <v>49</v>
      </c>
      <c r="H28" s="9" t="s">
        <v>55</v>
      </c>
      <c r="I28" s="8" t="s">
        <v>55</v>
      </c>
      <c r="J28" s="10"/>
      <c r="K28" s="10" t="str">
        <f>"112,5"</f>
        <v>112,5</v>
      </c>
      <c r="L28" s="10" t="str">
        <f>"94,6181"</f>
        <v>94,6181</v>
      </c>
      <c r="M28" s="7" t="s">
        <v>4158</v>
      </c>
    </row>
    <row r="29" spans="1:13">
      <c r="B29" s="5" t="s">
        <v>40</v>
      </c>
    </row>
    <row r="30" spans="1:13" ht="15.95">
      <c r="A30" s="102" t="s">
        <v>241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1:13">
      <c r="A31" s="13" t="s">
        <v>15</v>
      </c>
      <c r="B31" s="11" t="s">
        <v>4159</v>
      </c>
      <c r="C31" s="11" t="s">
        <v>4160</v>
      </c>
      <c r="D31" s="11" t="s">
        <v>4161</v>
      </c>
      <c r="E31" s="11" t="str">
        <f>"0,7797"</f>
        <v>0,7797</v>
      </c>
      <c r="F31" s="11" t="s">
        <v>4162</v>
      </c>
      <c r="G31" s="12" t="s">
        <v>38</v>
      </c>
      <c r="H31" s="12" t="s">
        <v>46</v>
      </c>
      <c r="I31" s="21" t="s">
        <v>49</v>
      </c>
      <c r="J31" s="13"/>
      <c r="K31" s="13" t="str">
        <f>"102,5"</f>
        <v>102,5</v>
      </c>
      <c r="L31" s="13" t="str">
        <f>"103,1757"</f>
        <v>103,1757</v>
      </c>
      <c r="M31" s="11" t="s">
        <v>4163</v>
      </c>
    </row>
    <row r="32" spans="1:13">
      <c r="A32" s="20" t="s">
        <v>15</v>
      </c>
      <c r="B32" s="18" t="s">
        <v>4164</v>
      </c>
      <c r="C32" s="18" t="s">
        <v>4165</v>
      </c>
      <c r="D32" s="18" t="s">
        <v>4166</v>
      </c>
      <c r="E32" s="18" t="str">
        <f>"0,7620"</f>
        <v>0,7620</v>
      </c>
      <c r="F32" s="18" t="s">
        <v>4167</v>
      </c>
      <c r="G32" s="19" t="s">
        <v>140</v>
      </c>
      <c r="H32" s="19" t="s">
        <v>104</v>
      </c>
      <c r="I32" s="22" t="s">
        <v>81</v>
      </c>
      <c r="J32" s="20"/>
      <c r="K32" s="20" t="str">
        <f>"77,5"</f>
        <v>77,5</v>
      </c>
      <c r="L32" s="20" t="str">
        <f>"95,0786"</f>
        <v>95,0786</v>
      </c>
      <c r="M32" s="18" t="s">
        <v>158</v>
      </c>
    </row>
    <row r="33" spans="1:13">
      <c r="B33" s="5" t="s">
        <v>40</v>
      </c>
    </row>
    <row r="34" spans="1:13" ht="15.95">
      <c r="A34" s="102" t="s">
        <v>301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1:13">
      <c r="A35" s="13" t="s">
        <v>15</v>
      </c>
      <c r="B35" s="11" t="s">
        <v>4168</v>
      </c>
      <c r="C35" s="11" t="s">
        <v>4169</v>
      </c>
      <c r="D35" s="11" t="s">
        <v>4170</v>
      </c>
      <c r="E35" s="11" t="str">
        <f>"0,7357"</f>
        <v>0,7357</v>
      </c>
      <c r="F35" s="11" t="s">
        <v>1155</v>
      </c>
      <c r="G35" s="12" t="s">
        <v>49</v>
      </c>
      <c r="H35" s="12" t="s">
        <v>69</v>
      </c>
      <c r="I35" s="12" t="s">
        <v>56</v>
      </c>
      <c r="J35" s="13"/>
      <c r="K35" s="13" t="str">
        <f>"115,0"</f>
        <v>115,0</v>
      </c>
      <c r="L35" s="13" t="str">
        <f>"84,6055"</f>
        <v>84,6055</v>
      </c>
      <c r="M35" s="11" t="s">
        <v>4171</v>
      </c>
    </row>
    <row r="36" spans="1:13">
      <c r="A36" s="20" t="s">
        <v>15</v>
      </c>
      <c r="B36" s="18" t="s">
        <v>4172</v>
      </c>
      <c r="C36" s="18" t="s">
        <v>4173</v>
      </c>
      <c r="D36" s="18" t="s">
        <v>2095</v>
      </c>
      <c r="E36" s="18" t="str">
        <f>"0,7034"</f>
        <v>0,7034</v>
      </c>
      <c r="F36" s="18" t="s">
        <v>4140</v>
      </c>
      <c r="G36" s="19" t="s">
        <v>81</v>
      </c>
      <c r="H36" s="19" t="s">
        <v>67</v>
      </c>
      <c r="I36" s="19" t="s">
        <v>120</v>
      </c>
      <c r="J36" s="20"/>
      <c r="K36" s="20" t="str">
        <f>"87,5"</f>
        <v>87,5</v>
      </c>
      <c r="L36" s="20" t="str">
        <f>"61,5475"</f>
        <v>61,5475</v>
      </c>
      <c r="M36" s="18" t="s">
        <v>4137</v>
      </c>
    </row>
    <row r="37" spans="1:13">
      <c r="B37" s="5" t="s">
        <v>40</v>
      </c>
    </row>
    <row r="38" spans="1:13" ht="15.95">
      <c r="A38" s="102" t="s">
        <v>334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3">
      <c r="A39" s="13" t="s">
        <v>15</v>
      </c>
      <c r="B39" s="11" t="s">
        <v>4174</v>
      </c>
      <c r="C39" s="11" t="s">
        <v>4175</v>
      </c>
      <c r="D39" s="11" t="s">
        <v>2599</v>
      </c>
      <c r="E39" s="11" t="str">
        <f>"0,6508"</f>
        <v>0,6508</v>
      </c>
      <c r="F39" s="11" t="s">
        <v>2658</v>
      </c>
      <c r="G39" s="12" t="s">
        <v>67</v>
      </c>
      <c r="H39" s="12" t="s">
        <v>68</v>
      </c>
      <c r="I39" s="12" t="s">
        <v>110</v>
      </c>
      <c r="J39" s="13"/>
      <c r="K39" s="13" t="str">
        <f>"97,5"</f>
        <v>97,5</v>
      </c>
      <c r="L39" s="13" t="str">
        <f>"63,4530"</f>
        <v>63,4530</v>
      </c>
      <c r="M39" s="11" t="s">
        <v>4176</v>
      </c>
    </row>
    <row r="40" spans="1:13">
      <c r="A40" s="17" t="s">
        <v>15</v>
      </c>
      <c r="B40" s="14" t="s">
        <v>4177</v>
      </c>
      <c r="C40" s="14" t="s">
        <v>4178</v>
      </c>
      <c r="D40" s="14" t="s">
        <v>481</v>
      </c>
      <c r="E40" s="14" t="str">
        <f>"0,6578"</f>
        <v>0,6578</v>
      </c>
      <c r="F40" s="14" t="s">
        <v>91</v>
      </c>
      <c r="G40" s="15" t="s">
        <v>60</v>
      </c>
      <c r="H40" s="15" t="s">
        <v>205</v>
      </c>
      <c r="I40" s="17"/>
      <c r="J40" s="17"/>
      <c r="K40" s="17" t="str">
        <f>"155,0"</f>
        <v>155,0</v>
      </c>
      <c r="L40" s="17" t="str">
        <f>"101,9590"</f>
        <v>101,9590</v>
      </c>
      <c r="M40" s="14" t="s">
        <v>158</v>
      </c>
    </row>
    <row r="41" spans="1:13">
      <c r="A41" s="17" t="s">
        <v>62</v>
      </c>
      <c r="B41" s="14" t="s">
        <v>4174</v>
      </c>
      <c r="C41" s="14" t="s">
        <v>4179</v>
      </c>
      <c r="D41" s="14" t="s">
        <v>2599</v>
      </c>
      <c r="E41" s="14" t="str">
        <f>"0,6508"</f>
        <v>0,6508</v>
      </c>
      <c r="F41" s="14" t="s">
        <v>2658</v>
      </c>
      <c r="G41" s="15" t="s">
        <v>67</v>
      </c>
      <c r="H41" s="15" t="s">
        <v>68</v>
      </c>
      <c r="I41" s="15" t="s">
        <v>110</v>
      </c>
      <c r="J41" s="17"/>
      <c r="K41" s="17" t="str">
        <f>"97,5"</f>
        <v>97,5</v>
      </c>
      <c r="L41" s="17" t="str">
        <f>"63,4530"</f>
        <v>63,4530</v>
      </c>
      <c r="M41" s="14" t="s">
        <v>4176</v>
      </c>
    </row>
    <row r="42" spans="1:13">
      <c r="A42" s="17" t="s">
        <v>15</v>
      </c>
      <c r="B42" s="14" t="s">
        <v>4180</v>
      </c>
      <c r="C42" s="14" t="s">
        <v>4181</v>
      </c>
      <c r="D42" s="14" t="s">
        <v>4182</v>
      </c>
      <c r="E42" s="14" t="str">
        <f>"0,6595"</f>
        <v>0,6595</v>
      </c>
      <c r="F42" s="14" t="s">
        <v>91</v>
      </c>
      <c r="G42" s="15" t="s">
        <v>36</v>
      </c>
      <c r="H42" s="15" t="s">
        <v>38</v>
      </c>
      <c r="I42" s="16" t="s">
        <v>69</v>
      </c>
      <c r="J42" s="17"/>
      <c r="K42" s="17" t="str">
        <f>"100,0"</f>
        <v>100,0</v>
      </c>
      <c r="L42" s="17" t="str">
        <f>"65,9500"</f>
        <v>65,9500</v>
      </c>
      <c r="M42" s="14" t="s">
        <v>158</v>
      </c>
    </row>
    <row r="43" spans="1:13">
      <c r="A43" s="17" t="s">
        <v>15</v>
      </c>
      <c r="B43" s="14" t="s">
        <v>4183</v>
      </c>
      <c r="C43" s="14" t="s">
        <v>4184</v>
      </c>
      <c r="D43" s="14" t="s">
        <v>4185</v>
      </c>
      <c r="E43" s="14" t="str">
        <f>"0,6832"</f>
        <v>0,6832</v>
      </c>
      <c r="F43" s="14" t="s">
        <v>4186</v>
      </c>
      <c r="G43" s="15" t="s">
        <v>55</v>
      </c>
      <c r="H43" s="16" t="s">
        <v>56</v>
      </c>
      <c r="I43" s="16" t="s">
        <v>56</v>
      </c>
      <c r="J43" s="17"/>
      <c r="K43" s="17" t="str">
        <f>"112,5"</f>
        <v>112,5</v>
      </c>
      <c r="L43" s="17" t="str">
        <f>"102,9924"</f>
        <v>102,9924</v>
      </c>
      <c r="M43" s="14" t="s">
        <v>4137</v>
      </c>
    </row>
    <row r="44" spans="1:13">
      <c r="A44" s="20" t="s">
        <v>62</v>
      </c>
      <c r="B44" s="18" t="s">
        <v>4187</v>
      </c>
      <c r="C44" s="18" t="s">
        <v>4188</v>
      </c>
      <c r="D44" s="18" t="s">
        <v>485</v>
      </c>
      <c r="E44" s="18" t="str">
        <f>"0,6545"</f>
        <v>0,6545</v>
      </c>
      <c r="F44" s="18" t="s">
        <v>4140</v>
      </c>
      <c r="G44" s="19" t="s">
        <v>67</v>
      </c>
      <c r="H44" s="19" t="s">
        <v>36</v>
      </c>
      <c r="I44" s="22" t="s">
        <v>68</v>
      </c>
      <c r="J44" s="20"/>
      <c r="K44" s="20" t="str">
        <f>"90,0"</f>
        <v>90,0</v>
      </c>
      <c r="L44" s="20" t="str">
        <f>"87,1794"</f>
        <v>87,1794</v>
      </c>
      <c r="M44" s="18" t="s">
        <v>4106</v>
      </c>
    </row>
    <row r="45" spans="1:13">
      <c r="B45" s="5" t="s">
        <v>40</v>
      </c>
    </row>
    <row r="46" spans="1:13" ht="15.95">
      <c r="A46" s="102" t="s">
        <v>598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</row>
    <row r="47" spans="1:13">
      <c r="A47" s="13" t="s">
        <v>15</v>
      </c>
      <c r="B47" s="11" t="s">
        <v>4189</v>
      </c>
      <c r="C47" s="11" t="s">
        <v>4190</v>
      </c>
      <c r="D47" s="11" t="s">
        <v>1081</v>
      </c>
      <c r="E47" s="11" t="str">
        <f>"0,6119"</f>
        <v>0,6119</v>
      </c>
      <c r="F47" s="11" t="s">
        <v>4191</v>
      </c>
      <c r="G47" s="12" t="s">
        <v>38</v>
      </c>
      <c r="H47" s="12" t="s">
        <v>49</v>
      </c>
      <c r="I47" s="12" t="s">
        <v>69</v>
      </c>
      <c r="J47" s="13"/>
      <c r="K47" s="13" t="str">
        <f>"110,0"</f>
        <v>110,0</v>
      </c>
      <c r="L47" s="13" t="str">
        <f>"82,4468"</f>
        <v>82,4468</v>
      </c>
      <c r="M47" s="11" t="s">
        <v>158</v>
      </c>
    </row>
    <row r="48" spans="1:13">
      <c r="A48" s="17" t="s">
        <v>62</v>
      </c>
      <c r="B48" s="14" t="s">
        <v>4192</v>
      </c>
      <c r="C48" s="14" t="s">
        <v>4193</v>
      </c>
      <c r="D48" s="14" t="s">
        <v>622</v>
      </c>
      <c r="E48" s="14" t="str">
        <f>"0,6234"</f>
        <v>0,6234</v>
      </c>
      <c r="F48" s="14" t="s">
        <v>91</v>
      </c>
      <c r="G48" s="15" t="s">
        <v>110</v>
      </c>
      <c r="H48" s="15" t="s">
        <v>46</v>
      </c>
      <c r="I48" s="16" t="s">
        <v>47</v>
      </c>
      <c r="J48" s="17"/>
      <c r="K48" s="17" t="str">
        <f>"102,5"</f>
        <v>102,5</v>
      </c>
      <c r="L48" s="17" t="str">
        <f>"81,0233"</f>
        <v>81,0233</v>
      </c>
      <c r="M48" s="14" t="s">
        <v>158</v>
      </c>
    </row>
    <row r="49" spans="1:13">
      <c r="A49" s="20" t="s">
        <v>15</v>
      </c>
      <c r="B49" s="18" t="s">
        <v>4194</v>
      </c>
      <c r="C49" s="18" t="s">
        <v>4195</v>
      </c>
      <c r="D49" s="18" t="s">
        <v>622</v>
      </c>
      <c r="E49" s="18" t="str">
        <f>"0,6234"</f>
        <v>0,6234</v>
      </c>
      <c r="F49" s="18" t="s">
        <v>4196</v>
      </c>
      <c r="G49" s="19" t="s">
        <v>38</v>
      </c>
      <c r="H49" s="22" t="s">
        <v>49</v>
      </c>
      <c r="I49" s="19" t="s">
        <v>49</v>
      </c>
      <c r="J49" s="20"/>
      <c r="K49" s="20" t="str">
        <f>"105,0"</f>
        <v>105,0</v>
      </c>
      <c r="L49" s="20" t="str">
        <f>"103,1602"</f>
        <v>103,1602</v>
      </c>
      <c r="M49" s="18" t="s">
        <v>4106</v>
      </c>
    </row>
    <row r="50" spans="1:13">
      <c r="B50" s="5" t="s">
        <v>40</v>
      </c>
    </row>
    <row r="51" spans="1:13" ht="15.95">
      <c r="A51" s="102" t="s">
        <v>670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</row>
    <row r="52" spans="1:13">
      <c r="A52" s="13" t="s">
        <v>15</v>
      </c>
      <c r="B52" s="11" t="s">
        <v>4197</v>
      </c>
      <c r="C52" s="11" t="s">
        <v>4198</v>
      </c>
      <c r="D52" s="11" t="s">
        <v>4199</v>
      </c>
      <c r="E52" s="11" t="str">
        <f>"0,6010"</f>
        <v>0,6010</v>
      </c>
      <c r="F52" s="11" t="s">
        <v>91</v>
      </c>
      <c r="G52" s="12" t="s">
        <v>398</v>
      </c>
      <c r="H52" s="12" t="s">
        <v>392</v>
      </c>
      <c r="I52" s="21" t="s">
        <v>374</v>
      </c>
      <c r="J52" s="13"/>
      <c r="K52" s="13" t="str">
        <f>"190,0"</f>
        <v>190,0</v>
      </c>
      <c r="L52" s="13" t="str">
        <f>"114,1805"</f>
        <v>114,1805</v>
      </c>
      <c r="M52" s="11" t="s">
        <v>158</v>
      </c>
    </row>
    <row r="53" spans="1:13">
      <c r="A53" s="17" t="s">
        <v>62</v>
      </c>
      <c r="B53" s="14" t="s">
        <v>4200</v>
      </c>
      <c r="C53" s="14" t="s">
        <v>4201</v>
      </c>
      <c r="D53" s="14" t="s">
        <v>723</v>
      </c>
      <c r="E53" s="14" t="str">
        <f>"0,5905"</f>
        <v>0,5905</v>
      </c>
      <c r="F53" s="14" t="s">
        <v>4140</v>
      </c>
      <c r="G53" s="15" t="s">
        <v>67</v>
      </c>
      <c r="H53" s="15" t="s">
        <v>36</v>
      </c>
      <c r="I53" s="15" t="s">
        <v>68</v>
      </c>
      <c r="J53" s="17"/>
      <c r="K53" s="17" t="str">
        <f>"92,5"</f>
        <v>92,5</v>
      </c>
      <c r="L53" s="17" t="str">
        <f>"54,6212"</f>
        <v>54,6212</v>
      </c>
      <c r="M53" s="14" t="s">
        <v>4137</v>
      </c>
    </row>
    <row r="54" spans="1:13">
      <c r="A54" s="17" t="s">
        <v>15</v>
      </c>
      <c r="B54" s="14" t="s">
        <v>4202</v>
      </c>
      <c r="C54" s="14" t="s">
        <v>4203</v>
      </c>
      <c r="D54" s="14" t="s">
        <v>1130</v>
      </c>
      <c r="E54" s="14" t="str">
        <f>"0,5917"</f>
        <v>0,5917</v>
      </c>
      <c r="F54" s="14" t="s">
        <v>4140</v>
      </c>
      <c r="G54" s="16" t="s">
        <v>85</v>
      </c>
      <c r="H54" s="16" t="s">
        <v>85</v>
      </c>
      <c r="I54" s="15" t="s">
        <v>85</v>
      </c>
      <c r="J54" s="17"/>
      <c r="K54" s="17" t="str">
        <f>"127,5"</f>
        <v>127,5</v>
      </c>
      <c r="L54" s="17" t="str">
        <f>"85,2420"</f>
        <v>85,2420</v>
      </c>
      <c r="M54" s="14" t="s">
        <v>158</v>
      </c>
    </row>
    <row r="55" spans="1:13">
      <c r="A55" s="20" t="s">
        <v>15</v>
      </c>
      <c r="B55" s="18" t="s">
        <v>4204</v>
      </c>
      <c r="C55" s="18" t="s">
        <v>4205</v>
      </c>
      <c r="D55" s="18" t="s">
        <v>1213</v>
      </c>
      <c r="E55" s="18" t="str">
        <f>"0,5980"</f>
        <v>0,5980</v>
      </c>
      <c r="F55" s="18" t="s">
        <v>4206</v>
      </c>
      <c r="G55" s="19" t="s">
        <v>55</v>
      </c>
      <c r="H55" s="19" t="s">
        <v>84</v>
      </c>
      <c r="I55" s="19" t="s">
        <v>70</v>
      </c>
      <c r="J55" s="20"/>
      <c r="K55" s="20" t="str">
        <f>"120,0"</f>
        <v>120,0</v>
      </c>
      <c r="L55" s="20" t="str">
        <f>"106,2048"</f>
        <v>106,2048</v>
      </c>
      <c r="M55" s="18" t="s">
        <v>4106</v>
      </c>
    </row>
    <row r="56" spans="1:13">
      <c r="B56" s="5" t="s">
        <v>40</v>
      </c>
    </row>
    <row r="57" spans="1:13" ht="15.95">
      <c r="A57" s="102" t="s">
        <v>724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3">
      <c r="A58" s="13" t="s">
        <v>15</v>
      </c>
      <c r="B58" s="11" t="s">
        <v>4207</v>
      </c>
      <c r="C58" s="11" t="s">
        <v>4208</v>
      </c>
      <c r="D58" s="11" t="s">
        <v>2180</v>
      </c>
      <c r="E58" s="11" t="str">
        <f>"0,5735"</f>
        <v>0,5735</v>
      </c>
      <c r="F58" s="11" t="s">
        <v>2486</v>
      </c>
      <c r="G58" s="12" t="s">
        <v>145</v>
      </c>
      <c r="H58" s="12" t="s">
        <v>71</v>
      </c>
      <c r="I58" s="12" t="s">
        <v>209</v>
      </c>
      <c r="J58" s="13"/>
      <c r="K58" s="13" t="str">
        <f>"135,0"</f>
        <v>135,0</v>
      </c>
      <c r="L58" s="13" t="str">
        <f>"82,6944"</f>
        <v>82,6944</v>
      </c>
      <c r="M58" s="11" t="s">
        <v>158</v>
      </c>
    </row>
    <row r="59" spans="1:13">
      <c r="A59" s="20" t="s">
        <v>15</v>
      </c>
      <c r="B59" s="18" t="s">
        <v>4209</v>
      </c>
      <c r="C59" s="18" t="s">
        <v>4210</v>
      </c>
      <c r="D59" s="18" t="s">
        <v>4211</v>
      </c>
      <c r="E59" s="18" t="str">
        <f>"0,5701"</f>
        <v>0,5701</v>
      </c>
      <c r="F59" s="18" t="s">
        <v>2418</v>
      </c>
      <c r="G59" s="19" t="s">
        <v>38</v>
      </c>
      <c r="H59" s="19" t="s">
        <v>69</v>
      </c>
      <c r="I59" s="19" t="s">
        <v>56</v>
      </c>
      <c r="J59" s="20"/>
      <c r="K59" s="20" t="str">
        <f>"115,0"</f>
        <v>115,0</v>
      </c>
      <c r="L59" s="20" t="str">
        <f>"84,6399"</f>
        <v>84,6399</v>
      </c>
      <c r="M59" s="18" t="s">
        <v>4212</v>
      </c>
    </row>
    <row r="60" spans="1:13">
      <c r="B60" s="5" t="s">
        <v>40</v>
      </c>
    </row>
    <row r="63" spans="1:13" ht="18">
      <c r="B63" s="23" t="s">
        <v>830</v>
      </c>
      <c r="C63" s="23"/>
    </row>
    <row r="64" spans="1:13" ht="15.95">
      <c r="B64" s="95" t="s">
        <v>855</v>
      </c>
      <c r="C64" s="95"/>
    </row>
    <row r="65" spans="2:6" ht="14.1">
      <c r="B65" s="24"/>
      <c r="C65" s="24" t="s">
        <v>847</v>
      </c>
    </row>
    <row r="66" spans="2:6" ht="14.1">
      <c r="B66" s="4" t="s">
        <v>833</v>
      </c>
      <c r="C66" s="4" t="s">
        <v>834</v>
      </c>
      <c r="D66" s="4" t="s">
        <v>835</v>
      </c>
      <c r="E66" s="4" t="s">
        <v>2294</v>
      </c>
      <c r="F66" s="4" t="s">
        <v>3650</v>
      </c>
    </row>
    <row r="67" spans="2:6">
      <c r="B67" s="5" t="s">
        <v>4204</v>
      </c>
      <c r="C67" s="5" t="s">
        <v>887</v>
      </c>
      <c r="D67" s="6" t="s">
        <v>888</v>
      </c>
      <c r="E67" s="6" t="s">
        <v>70</v>
      </c>
      <c r="F67" s="6" t="s">
        <v>4213</v>
      </c>
    </row>
    <row r="68" spans="2:6">
      <c r="B68" s="5" t="s">
        <v>4159</v>
      </c>
      <c r="C68" s="5" t="s">
        <v>884</v>
      </c>
      <c r="D68" s="6" t="s">
        <v>844</v>
      </c>
      <c r="E68" s="6" t="s">
        <v>46</v>
      </c>
      <c r="F68" s="6" t="s">
        <v>4214</v>
      </c>
    </row>
    <row r="69" spans="2:6">
      <c r="B69" s="5" t="s">
        <v>4194</v>
      </c>
      <c r="C69" s="5" t="s">
        <v>887</v>
      </c>
      <c r="D69" s="6" t="s">
        <v>858</v>
      </c>
      <c r="E69" s="6" t="s">
        <v>49</v>
      </c>
      <c r="F69" s="6" t="s">
        <v>4215</v>
      </c>
    </row>
    <row r="70" spans="2:6">
      <c r="B70" s="5" t="s">
        <v>40</v>
      </c>
    </row>
  </sheetData>
  <mergeCells count="25">
    <mergeCell ref="A34:L34"/>
    <mergeCell ref="A38:L38"/>
    <mergeCell ref="A46:L46"/>
    <mergeCell ref="A51:L51"/>
    <mergeCell ref="A57:L57"/>
    <mergeCell ref="A27:L27"/>
    <mergeCell ref="A30:L30"/>
    <mergeCell ref="K3:K4"/>
    <mergeCell ref="L3:L4"/>
    <mergeCell ref="M3:M4"/>
    <mergeCell ref="A5:L5"/>
    <mergeCell ref="A8:L8"/>
    <mergeCell ref="A11:L11"/>
    <mergeCell ref="B3:B4"/>
    <mergeCell ref="A15:L15"/>
    <mergeCell ref="A18:L18"/>
    <mergeCell ref="A21:L21"/>
    <mergeCell ref="A24:L24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246"/>
  <sheetViews>
    <sheetView topLeftCell="A151" workbookViewId="0">
      <selection activeCell="A157" sqref="A157"/>
    </sheetView>
  </sheetViews>
  <sheetFormatPr defaultColWidth="9.140625" defaultRowHeight="12.95"/>
  <cols>
    <col min="1" max="1" width="7.42578125" style="6" bestFit="1" customWidth="1"/>
    <col min="2" max="2" width="23.85546875" style="5" bestFit="1" customWidth="1"/>
    <col min="3" max="3" width="27.85546875" style="5" customWidth="1"/>
    <col min="4" max="4" width="21.42578125" style="5" bestFit="1" customWidth="1"/>
    <col min="5" max="5" width="10.42578125" style="5" bestFit="1" customWidth="1"/>
    <col min="6" max="6" width="23.85546875" style="5" bestFit="1" customWidth="1"/>
    <col min="7" max="10" width="5.42578125" style="6" bestFit="1" customWidth="1"/>
    <col min="11" max="11" width="11.28515625" style="39" bestFit="1" customWidth="1"/>
    <col min="12" max="12" width="8.42578125" style="6" bestFit="1" customWidth="1"/>
    <col min="13" max="13" width="32.42578125" style="5" bestFit="1" customWidth="1"/>
    <col min="14" max="16384" width="9.140625" style="3"/>
  </cols>
  <sheetData>
    <row r="1" spans="1:13" s="2" customFormat="1" ht="29.1" customHeight="1">
      <c r="A1" s="103" t="s">
        <v>4216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5</v>
      </c>
      <c r="F3" s="114" t="s">
        <v>6</v>
      </c>
      <c r="G3" s="114" t="s">
        <v>9</v>
      </c>
      <c r="H3" s="114"/>
      <c r="I3" s="114"/>
      <c r="J3" s="114"/>
      <c r="K3" s="117" t="s">
        <v>2294</v>
      </c>
      <c r="L3" s="114" t="s">
        <v>11</v>
      </c>
      <c r="M3" s="99" t="s">
        <v>12</v>
      </c>
    </row>
    <row r="4" spans="1:13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118"/>
      <c r="L4" s="113"/>
      <c r="M4" s="100"/>
    </row>
    <row r="5" spans="1:13" ht="15.95">
      <c r="A5" s="101" t="s">
        <v>41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3">
      <c r="A6" s="13" t="s">
        <v>15</v>
      </c>
      <c r="B6" s="11" t="s">
        <v>42</v>
      </c>
      <c r="C6" s="11" t="s">
        <v>43</v>
      </c>
      <c r="D6" s="11" t="s">
        <v>44</v>
      </c>
      <c r="E6" s="11" t="str">
        <f>"1,3244"</f>
        <v>1,3244</v>
      </c>
      <c r="F6" s="11" t="s">
        <v>45</v>
      </c>
      <c r="G6" s="21" t="s">
        <v>38</v>
      </c>
      <c r="H6" s="12" t="s">
        <v>38</v>
      </c>
      <c r="I6" s="21" t="s">
        <v>49</v>
      </c>
      <c r="J6" s="13"/>
      <c r="K6" s="37" t="str">
        <f>"100,0"</f>
        <v>100,0</v>
      </c>
      <c r="L6" s="13" t="str">
        <f>"132,4400"</f>
        <v>132,4400</v>
      </c>
      <c r="M6" s="11" t="s">
        <v>50</v>
      </c>
    </row>
    <row r="7" spans="1:13">
      <c r="A7" s="17" t="s">
        <v>15</v>
      </c>
      <c r="B7" s="14" t="s">
        <v>4217</v>
      </c>
      <c r="C7" s="14" t="s">
        <v>4218</v>
      </c>
      <c r="D7" s="14" t="s">
        <v>4129</v>
      </c>
      <c r="E7" s="14" t="str">
        <f>"1,3470"</f>
        <v>1,3470</v>
      </c>
      <c r="F7" s="14" t="s">
        <v>1481</v>
      </c>
      <c r="G7" s="17"/>
      <c r="H7" s="15" t="s">
        <v>67</v>
      </c>
      <c r="I7" s="15" t="s">
        <v>37</v>
      </c>
      <c r="J7" s="17"/>
      <c r="K7" s="40" t="str">
        <f>"95,0"</f>
        <v>95,0</v>
      </c>
      <c r="L7" s="17" t="str">
        <f>"127,9650"</f>
        <v>127,9650</v>
      </c>
      <c r="M7" s="14" t="s">
        <v>4219</v>
      </c>
    </row>
    <row r="8" spans="1:13">
      <c r="A8" s="17" t="s">
        <v>15</v>
      </c>
      <c r="B8" s="14" t="s">
        <v>76</v>
      </c>
      <c r="C8" s="14" t="s">
        <v>77</v>
      </c>
      <c r="D8" s="14" t="s">
        <v>78</v>
      </c>
      <c r="E8" s="14" t="str">
        <f>"1,3265"</f>
        <v>1,3265</v>
      </c>
      <c r="F8" s="14" t="s">
        <v>79</v>
      </c>
      <c r="G8" s="15" t="s">
        <v>84</v>
      </c>
      <c r="H8" s="15" t="s">
        <v>85</v>
      </c>
      <c r="I8" s="15" t="s">
        <v>71</v>
      </c>
      <c r="J8" s="17"/>
      <c r="K8" s="40" t="str">
        <f>"130,0"</f>
        <v>130,0</v>
      </c>
      <c r="L8" s="17" t="str">
        <f>"172,4450"</f>
        <v>172,4450</v>
      </c>
      <c r="M8" s="14" t="s">
        <v>86</v>
      </c>
    </row>
    <row r="9" spans="1:13">
      <c r="A9" s="17" t="s">
        <v>62</v>
      </c>
      <c r="B9" s="14" t="s">
        <v>63</v>
      </c>
      <c r="C9" s="14" t="s">
        <v>64</v>
      </c>
      <c r="D9" s="14" t="s">
        <v>65</v>
      </c>
      <c r="E9" s="14" t="str">
        <f>"1,3573"</f>
        <v>1,3573</v>
      </c>
      <c r="F9" s="14" t="s">
        <v>66</v>
      </c>
      <c r="G9" s="15" t="s">
        <v>69</v>
      </c>
      <c r="H9" s="15" t="s">
        <v>70</v>
      </c>
      <c r="I9" s="16" t="s">
        <v>71</v>
      </c>
      <c r="J9" s="17"/>
      <c r="K9" s="40" t="str">
        <f>"120,0"</f>
        <v>120,0</v>
      </c>
      <c r="L9" s="17" t="str">
        <f>"162,8760"</f>
        <v>162,8760</v>
      </c>
      <c r="M9" s="14" t="s">
        <v>72</v>
      </c>
    </row>
    <row r="10" spans="1:13">
      <c r="A10" s="20" t="s">
        <v>73</v>
      </c>
      <c r="B10" s="18" t="s">
        <v>42</v>
      </c>
      <c r="C10" s="18" t="s">
        <v>74</v>
      </c>
      <c r="D10" s="18" t="s">
        <v>44</v>
      </c>
      <c r="E10" s="18" t="str">
        <f>"1,3244"</f>
        <v>1,3244</v>
      </c>
      <c r="F10" s="18" t="s">
        <v>45</v>
      </c>
      <c r="G10" s="22" t="s">
        <v>38</v>
      </c>
      <c r="H10" s="19" t="s">
        <v>38</v>
      </c>
      <c r="I10" s="22" t="s">
        <v>49</v>
      </c>
      <c r="J10" s="20"/>
      <c r="K10" s="38" t="str">
        <f>"100,0"</f>
        <v>100,0</v>
      </c>
      <c r="L10" s="20" t="str">
        <f>"132,4400"</f>
        <v>132,4400</v>
      </c>
      <c r="M10" s="18" t="s">
        <v>50</v>
      </c>
    </row>
    <row r="11" spans="1:13">
      <c r="B11" s="5" t="s">
        <v>40</v>
      </c>
    </row>
    <row r="12" spans="1:13" ht="15.95">
      <c r="A12" s="102" t="s">
        <v>98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1:13">
      <c r="A13" s="13" t="s">
        <v>15</v>
      </c>
      <c r="B13" s="11" t="s">
        <v>106</v>
      </c>
      <c r="C13" s="11" t="s">
        <v>107</v>
      </c>
      <c r="D13" s="11" t="s">
        <v>108</v>
      </c>
      <c r="E13" s="11" t="str">
        <f>"1,2466"</f>
        <v>1,2466</v>
      </c>
      <c r="F13" s="11" t="s">
        <v>109</v>
      </c>
      <c r="G13" s="12" t="s">
        <v>69</v>
      </c>
      <c r="H13" s="12" t="s">
        <v>56</v>
      </c>
      <c r="I13" s="12" t="s">
        <v>84</v>
      </c>
      <c r="J13" s="13"/>
      <c r="K13" s="37" t="str">
        <f>"117,5"</f>
        <v>117,5</v>
      </c>
      <c r="L13" s="13" t="str">
        <f>"146,4755"</f>
        <v>146,4755</v>
      </c>
      <c r="M13" s="11" t="s">
        <v>111</v>
      </c>
    </row>
    <row r="14" spans="1:13">
      <c r="A14" s="17" t="s">
        <v>62</v>
      </c>
      <c r="B14" s="14" t="s">
        <v>4220</v>
      </c>
      <c r="C14" s="14" t="s">
        <v>4221</v>
      </c>
      <c r="D14" s="14" t="s">
        <v>894</v>
      </c>
      <c r="E14" s="14" t="str">
        <f>"1,2504"</f>
        <v>1,2504</v>
      </c>
      <c r="F14" s="14" t="s">
        <v>1481</v>
      </c>
      <c r="G14" s="15" t="s">
        <v>36</v>
      </c>
      <c r="H14" s="15" t="s">
        <v>46</v>
      </c>
      <c r="I14" s="15" t="s">
        <v>69</v>
      </c>
      <c r="J14" s="17"/>
      <c r="K14" s="40" t="str">
        <f>"110,0"</f>
        <v>110,0</v>
      </c>
      <c r="L14" s="17" t="str">
        <f>"137,5440"</f>
        <v>137,5440</v>
      </c>
      <c r="M14" s="14" t="s">
        <v>2316</v>
      </c>
    </row>
    <row r="15" spans="1:13">
      <c r="A15" s="17" t="s">
        <v>15</v>
      </c>
      <c r="B15" s="14" t="s">
        <v>1366</v>
      </c>
      <c r="C15" s="14" t="s">
        <v>1367</v>
      </c>
      <c r="D15" s="14" t="s">
        <v>1368</v>
      </c>
      <c r="E15" s="14" t="str">
        <f>"1,2560"</f>
        <v>1,2560</v>
      </c>
      <c r="F15" s="14" t="s">
        <v>45</v>
      </c>
      <c r="G15" s="15" t="s">
        <v>60</v>
      </c>
      <c r="H15" s="15" t="s">
        <v>151</v>
      </c>
      <c r="I15" s="16" t="s">
        <v>248</v>
      </c>
      <c r="J15" s="17"/>
      <c r="K15" s="40" t="str">
        <f>"160,0"</f>
        <v>160,0</v>
      </c>
      <c r="L15" s="17" t="str">
        <f>"200,9600"</f>
        <v>200,9600</v>
      </c>
      <c r="M15" s="14" t="s">
        <v>50</v>
      </c>
    </row>
    <row r="16" spans="1:13">
      <c r="A16" s="17" t="s">
        <v>62</v>
      </c>
      <c r="B16" s="14" t="s">
        <v>4222</v>
      </c>
      <c r="C16" s="14" t="s">
        <v>4223</v>
      </c>
      <c r="D16" s="14" t="s">
        <v>4224</v>
      </c>
      <c r="E16" s="14" t="str">
        <f>"1,2673"</f>
        <v>1,2673</v>
      </c>
      <c r="F16" s="14" t="s">
        <v>91</v>
      </c>
      <c r="G16" s="15" t="s">
        <v>59</v>
      </c>
      <c r="H16" s="16" t="s">
        <v>60</v>
      </c>
      <c r="I16" s="16" t="s">
        <v>60</v>
      </c>
      <c r="J16" s="17"/>
      <c r="K16" s="40" t="str">
        <f>"145,0"</f>
        <v>145,0</v>
      </c>
      <c r="L16" s="17" t="str">
        <f>"183,7585"</f>
        <v>183,7585</v>
      </c>
      <c r="M16" s="14" t="s">
        <v>4225</v>
      </c>
    </row>
    <row r="17" spans="1:13">
      <c r="A17" s="17" t="s">
        <v>73</v>
      </c>
      <c r="B17" s="14" t="s">
        <v>2074</v>
      </c>
      <c r="C17" s="14" t="s">
        <v>2075</v>
      </c>
      <c r="D17" s="14" t="s">
        <v>133</v>
      </c>
      <c r="E17" s="14" t="str">
        <f>"1,2635"</f>
        <v>1,2635</v>
      </c>
      <c r="F17" s="14" t="s">
        <v>695</v>
      </c>
      <c r="G17" s="16" t="s">
        <v>71</v>
      </c>
      <c r="H17" s="15" t="s">
        <v>209</v>
      </c>
      <c r="I17" s="15" t="s">
        <v>58</v>
      </c>
      <c r="J17" s="17"/>
      <c r="K17" s="40" t="str">
        <f>"140,0"</f>
        <v>140,0</v>
      </c>
      <c r="L17" s="17" t="str">
        <f>"176,8900"</f>
        <v>176,8900</v>
      </c>
      <c r="M17" s="14" t="s">
        <v>2076</v>
      </c>
    </row>
    <row r="18" spans="1:13">
      <c r="A18" s="17" t="s">
        <v>75</v>
      </c>
      <c r="B18" s="14" t="s">
        <v>4226</v>
      </c>
      <c r="C18" s="14" t="s">
        <v>246</v>
      </c>
      <c r="D18" s="14" t="s">
        <v>4227</v>
      </c>
      <c r="E18" s="14" t="str">
        <f>"1,2711"</f>
        <v>1,2711</v>
      </c>
      <c r="F18" s="14" t="s">
        <v>2792</v>
      </c>
      <c r="G18" s="15" t="s">
        <v>145</v>
      </c>
      <c r="H18" s="15" t="s">
        <v>209</v>
      </c>
      <c r="I18" s="16" t="s">
        <v>59</v>
      </c>
      <c r="J18" s="17"/>
      <c r="K18" s="40" t="str">
        <f>"135,0"</f>
        <v>135,0</v>
      </c>
      <c r="L18" s="17" t="str">
        <f>"171,5985"</f>
        <v>171,5985</v>
      </c>
      <c r="M18" s="14" t="s">
        <v>4228</v>
      </c>
    </row>
    <row r="19" spans="1:13">
      <c r="A19" s="17" t="s">
        <v>87</v>
      </c>
      <c r="B19" s="14" t="s">
        <v>112</v>
      </c>
      <c r="C19" s="14" t="s">
        <v>113</v>
      </c>
      <c r="D19" s="14" t="s">
        <v>114</v>
      </c>
      <c r="E19" s="14" t="str">
        <f>"1,2541"</f>
        <v>1,2541</v>
      </c>
      <c r="F19" s="14" t="s">
        <v>2252</v>
      </c>
      <c r="G19" s="15" t="s">
        <v>69</v>
      </c>
      <c r="H19" s="15" t="s">
        <v>70</v>
      </c>
      <c r="I19" s="15" t="s">
        <v>85</v>
      </c>
      <c r="J19" s="17"/>
      <c r="K19" s="40" t="str">
        <f>"127,5"</f>
        <v>127,5</v>
      </c>
      <c r="L19" s="17" t="str">
        <f>"159,8977"</f>
        <v>159,8977</v>
      </c>
      <c r="M19" s="14" t="s">
        <v>116</v>
      </c>
    </row>
    <row r="20" spans="1:13">
      <c r="A20" s="17" t="s">
        <v>168</v>
      </c>
      <c r="B20" s="14" t="s">
        <v>4229</v>
      </c>
      <c r="C20" s="14" t="s">
        <v>4230</v>
      </c>
      <c r="D20" s="14" t="s">
        <v>4231</v>
      </c>
      <c r="E20" s="14" t="str">
        <f>"1,2750"</f>
        <v>1,2750</v>
      </c>
      <c r="F20" s="14" t="s">
        <v>1697</v>
      </c>
      <c r="G20" s="15" t="s">
        <v>38</v>
      </c>
      <c r="H20" s="15" t="s">
        <v>46</v>
      </c>
      <c r="I20" s="15" t="s">
        <v>49</v>
      </c>
      <c r="J20" s="17"/>
      <c r="K20" s="40" t="str">
        <f>"105,0"</f>
        <v>105,0</v>
      </c>
      <c r="L20" s="17" t="str">
        <f>"133,8750"</f>
        <v>133,8750</v>
      </c>
      <c r="M20" s="14" t="s">
        <v>4232</v>
      </c>
    </row>
    <row r="21" spans="1:13">
      <c r="A21" s="17" t="s">
        <v>92</v>
      </c>
      <c r="B21" s="14" t="s">
        <v>4233</v>
      </c>
      <c r="C21" s="14" t="s">
        <v>1373</v>
      </c>
      <c r="D21" s="14" t="s">
        <v>4234</v>
      </c>
      <c r="E21" s="14" t="str">
        <f>"1,3043"</f>
        <v>1,3043</v>
      </c>
      <c r="F21" s="14" t="s">
        <v>91</v>
      </c>
      <c r="G21" s="16" t="s">
        <v>120</v>
      </c>
      <c r="H21" s="16" t="s">
        <v>120</v>
      </c>
      <c r="I21" s="16" t="s">
        <v>120</v>
      </c>
      <c r="J21" s="17"/>
      <c r="K21" s="40">
        <v>0</v>
      </c>
      <c r="L21" s="17" t="str">
        <f>"0,0000"</f>
        <v>0,0000</v>
      </c>
      <c r="M21" s="14" t="s">
        <v>2826</v>
      </c>
    </row>
    <row r="22" spans="1:13">
      <c r="A22" s="20" t="s">
        <v>15</v>
      </c>
      <c r="B22" s="18" t="s">
        <v>1369</v>
      </c>
      <c r="C22" s="18" t="s">
        <v>1380</v>
      </c>
      <c r="D22" s="18" t="s">
        <v>899</v>
      </c>
      <c r="E22" s="18" t="str">
        <f>"1,2654"</f>
        <v>1,2654</v>
      </c>
      <c r="F22" s="18" t="s">
        <v>594</v>
      </c>
      <c r="G22" s="19" t="s">
        <v>209</v>
      </c>
      <c r="H22" s="22" t="s">
        <v>59</v>
      </c>
      <c r="I22" s="22" t="s">
        <v>59</v>
      </c>
      <c r="J22" s="20"/>
      <c r="K22" s="38" t="str">
        <f>"135,0"</f>
        <v>135,0</v>
      </c>
      <c r="L22" s="20" t="str">
        <f>"178,3455"</f>
        <v>178,3455</v>
      </c>
      <c r="M22" s="18" t="s">
        <v>1371</v>
      </c>
    </row>
    <row r="23" spans="1:13">
      <c r="B23" s="5" t="s">
        <v>40</v>
      </c>
    </row>
    <row r="24" spans="1:13" ht="15.95">
      <c r="A24" s="102" t="s">
        <v>141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1:13">
      <c r="A25" s="13" t="s">
        <v>15</v>
      </c>
      <c r="B25" s="11" t="s">
        <v>148</v>
      </c>
      <c r="C25" s="11" t="s">
        <v>149</v>
      </c>
      <c r="D25" s="11" t="s">
        <v>150</v>
      </c>
      <c r="E25" s="11" t="str">
        <f>"1,1766"</f>
        <v>1,1766</v>
      </c>
      <c r="F25" s="11" t="s">
        <v>45</v>
      </c>
      <c r="G25" s="12" t="s">
        <v>60</v>
      </c>
      <c r="H25" s="12" t="s">
        <v>151</v>
      </c>
      <c r="I25" s="12" t="s">
        <v>152</v>
      </c>
      <c r="J25" s="13"/>
      <c r="K25" s="37" t="str">
        <f>"165,0"</f>
        <v>165,0</v>
      </c>
      <c r="L25" s="13" t="str">
        <f>"194,1390"</f>
        <v>194,1390</v>
      </c>
      <c r="M25" s="11" t="s">
        <v>50</v>
      </c>
    </row>
    <row r="26" spans="1:13">
      <c r="A26" s="17" t="s">
        <v>62</v>
      </c>
      <c r="B26" s="14" t="s">
        <v>4235</v>
      </c>
      <c r="C26" s="14" t="s">
        <v>4236</v>
      </c>
      <c r="D26" s="14" t="s">
        <v>181</v>
      </c>
      <c r="E26" s="14" t="str">
        <f>"1,2019"</f>
        <v>1,2019</v>
      </c>
      <c r="F26" s="14" t="s">
        <v>203</v>
      </c>
      <c r="G26" s="16" t="s">
        <v>59</v>
      </c>
      <c r="H26" s="15" t="s">
        <v>59</v>
      </c>
      <c r="I26" s="15" t="s">
        <v>60</v>
      </c>
      <c r="J26" s="17"/>
      <c r="K26" s="40" t="str">
        <f>"150,0"</f>
        <v>150,0</v>
      </c>
      <c r="L26" s="17" t="str">
        <f>"180,2850"</f>
        <v>180,2850</v>
      </c>
      <c r="M26" s="14" t="s">
        <v>4237</v>
      </c>
    </row>
    <row r="27" spans="1:13">
      <c r="A27" s="17" t="s">
        <v>73</v>
      </c>
      <c r="B27" s="14" t="s">
        <v>4238</v>
      </c>
      <c r="C27" s="14" t="s">
        <v>4239</v>
      </c>
      <c r="D27" s="14" t="s">
        <v>1577</v>
      </c>
      <c r="E27" s="14" t="str">
        <f>"1,2141"</f>
        <v>1,2141</v>
      </c>
      <c r="F27" s="14" t="s">
        <v>166</v>
      </c>
      <c r="G27" s="15" t="s">
        <v>162</v>
      </c>
      <c r="H27" s="15" t="s">
        <v>85</v>
      </c>
      <c r="I27" s="15" t="s">
        <v>71</v>
      </c>
      <c r="J27" s="17"/>
      <c r="K27" s="40" t="str">
        <f>"130,0"</f>
        <v>130,0</v>
      </c>
      <c r="L27" s="17" t="str">
        <f>"157,8330"</f>
        <v>157,8330</v>
      </c>
      <c r="M27" s="14" t="s">
        <v>4240</v>
      </c>
    </row>
    <row r="28" spans="1:13">
      <c r="A28" s="17" t="s">
        <v>75</v>
      </c>
      <c r="B28" s="14" t="s">
        <v>4241</v>
      </c>
      <c r="C28" s="14" t="s">
        <v>4242</v>
      </c>
      <c r="D28" s="14" t="s">
        <v>2412</v>
      </c>
      <c r="E28" s="14" t="str">
        <f>"1,2159"</f>
        <v>1,2159</v>
      </c>
      <c r="F28" s="14" t="s">
        <v>4243</v>
      </c>
      <c r="G28" s="15" t="s">
        <v>69</v>
      </c>
      <c r="H28" s="17"/>
      <c r="I28" s="15" t="s">
        <v>145</v>
      </c>
      <c r="J28" s="17"/>
      <c r="K28" s="40" t="str">
        <f>"125,0"</f>
        <v>125,0</v>
      </c>
      <c r="L28" s="17" t="str">
        <f>"151,9875"</f>
        <v>151,9875</v>
      </c>
      <c r="M28" s="14" t="s">
        <v>4244</v>
      </c>
    </row>
    <row r="29" spans="1:13">
      <c r="A29" s="17" t="s">
        <v>87</v>
      </c>
      <c r="B29" s="14" t="s">
        <v>173</v>
      </c>
      <c r="C29" s="14" t="s">
        <v>174</v>
      </c>
      <c r="D29" s="14" t="s">
        <v>175</v>
      </c>
      <c r="E29" s="14" t="str">
        <f>"1,1883"</f>
        <v>1,1883</v>
      </c>
      <c r="F29" s="14" t="s">
        <v>1968</v>
      </c>
      <c r="G29" s="15" t="s">
        <v>69</v>
      </c>
      <c r="H29" s="15" t="s">
        <v>70</v>
      </c>
      <c r="I29" s="16" t="s">
        <v>145</v>
      </c>
      <c r="J29" s="17"/>
      <c r="K29" s="40" t="str">
        <f>"120,0"</f>
        <v>120,0</v>
      </c>
      <c r="L29" s="17" t="str">
        <f>"142,5960"</f>
        <v>142,5960</v>
      </c>
      <c r="M29" s="14" t="s">
        <v>177</v>
      </c>
    </row>
    <row r="30" spans="1:13">
      <c r="A30" s="17" t="s">
        <v>168</v>
      </c>
      <c r="B30" s="14" t="s">
        <v>179</v>
      </c>
      <c r="C30" s="14" t="s">
        <v>180</v>
      </c>
      <c r="D30" s="14" t="s">
        <v>181</v>
      </c>
      <c r="E30" s="14" t="str">
        <f>"1,2019"</f>
        <v>1,2019</v>
      </c>
      <c r="F30" s="14" t="s">
        <v>91</v>
      </c>
      <c r="G30" s="15" t="s">
        <v>69</v>
      </c>
      <c r="H30" s="15" t="s">
        <v>84</v>
      </c>
      <c r="I30" s="16" t="s">
        <v>145</v>
      </c>
      <c r="J30" s="17"/>
      <c r="K30" s="40" t="str">
        <f>"117,5"</f>
        <v>117,5</v>
      </c>
      <c r="L30" s="17" t="str">
        <f>"141,2233"</f>
        <v>141,2233</v>
      </c>
      <c r="M30" s="14" t="s">
        <v>182</v>
      </c>
    </row>
    <row r="31" spans="1:13">
      <c r="A31" s="17" t="s">
        <v>172</v>
      </c>
      <c r="B31" s="14" t="s">
        <v>163</v>
      </c>
      <c r="C31" s="14" t="s">
        <v>164</v>
      </c>
      <c r="D31" s="14" t="s">
        <v>165</v>
      </c>
      <c r="E31" s="14" t="str">
        <f>"1,1816"</f>
        <v>1,1816</v>
      </c>
      <c r="F31" s="14" t="s">
        <v>166</v>
      </c>
      <c r="G31" s="15" t="s">
        <v>47</v>
      </c>
      <c r="H31" s="15" t="s">
        <v>55</v>
      </c>
      <c r="I31" s="15" t="s">
        <v>84</v>
      </c>
      <c r="J31" s="17"/>
      <c r="K31" s="40" t="str">
        <f>"117,5"</f>
        <v>117,5</v>
      </c>
      <c r="L31" s="17" t="str">
        <f>"138,8380"</f>
        <v>138,8380</v>
      </c>
      <c r="M31" s="14" t="s">
        <v>167</v>
      </c>
    </row>
    <row r="32" spans="1:13">
      <c r="A32" s="17" t="s">
        <v>92</v>
      </c>
      <c r="B32" s="14" t="s">
        <v>1389</v>
      </c>
      <c r="C32" s="14" t="s">
        <v>1390</v>
      </c>
      <c r="D32" s="14" t="s">
        <v>175</v>
      </c>
      <c r="E32" s="14" t="str">
        <f>"1,1883"</f>
        <v>1,1883</v>
      </c>
      <c r="F32" s="14" t="s">
        <v>1391</v>
      </c>
      <c r="G32" s="16" t="s">
        <v>248</v>
      </c>
      <c r="H32" s="16" t="s">
        <v>248</v>
      </c>
      <c r="I32" s="16" t="s">
        <v>248</v>
      </c>
      <c r="J32" s="17"/>
      <c r="K32" s="40">
        <v>0</v>
      </c>
      <c r="L32" s="17" t="str">
        <f>"0,0000"</f>
        <v>0,0000</v>
      </c>
      <c r="M32" s="14" t="s">
        <v>1392</v>
      </c>
    </row>
    <row r="33" spans="1:13">
      <c r="A33" s="17" t="s">
        <v>15</v>
      </c>
      <c r="B33" s="14" t="s">
        <v>148</v>
      </c>
      <c r="C33" s="14" t="s">
        <v>190</v>
      </c>
      <c r="D33" s="14" t="s">
        <v>150</v>
      </c>
      <c r="E33" s="14" t="str">
        <f>"1,1766"</f>
        <v>1,1766</v>
      </c>
      <c r="F33" s="14" t="s">
        <v>45</v>
      </c>
      <c r="G33" s="15" t="s">
        <v>60</v>
      </c>
      <c r="H33" s="15" t="s">
        <v>151</v>
      </c>
      <c r="I33" s="15" t="s">
        <v>152</v>
      </c>
      <c r="J33" s="17"/>
      <c r="K33" s="40" t="str">
        <f>"165,0"</f>
        <v>165,0</v>
      </c>
      <c r="L33" s="17" t="str">
        <f>"195,1097"</f>
        <v>195,1097</v>
      </c>
      <c r="M33" s="14" t="s">
        <v>50</v>
      </c>
    </row>
    <row r="34" spans="1:13">
      <c r="A34" s="20" t="s">
        <v>62</v>
      </c>
      <c r="B34" s="18" t="s">
        <v>4235</v>
      </c>
      <c r="C34" s="18" t="s">
        <v>4245</v>
      </c>
      <c r="D34" s="18" t="s">
        <v>181</v>
      </c>
      <c r="E34" s="18" t="str">
        <f>"1,2019"</f>
        <v>1,2019</v>
      </c>
      <c r="F34" s="18" t="s">
        <v>203</v>
      </c>
      <c r="G34" s="22" t="s">
        <v>59</v>
      </c>
      <c r="H34" s="19" t="s">
        <v>59</v>
      </c>
      <c r="I34" s="19" t="s">
        <v>60</v>
      </c>
      <c r="J34" s="20"/>
      <c r="K34" s="38" t="str">
        <f>"150,0"</f>
        <v>150,0</v>
      </c>
      <c r="L34" s="20" t="str">
        <f>"188,2175"</f>
        <v>188,2175</v>
      </c>
      <c r="M34" s="18" t="s">
        <v>4237</v>
      </c>
    </row>
    <row r="35" spans="1:13">
      <c r="B35" s="5" t="s">
        <v>40</v>
      </c>
    </row>
    <row r="36" spans="1:13" ht="15.95">
      <c r="A36" s="102" t="s">
        <v>195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  <row r="37" spans="1:13">
      <c r="A37" s="13" t="s">
        <v>15</v>
      </c>
      <c r="B37" s="11" t="s">
        <v>4246</v>
      </c>
      <c r="C37" s="11" t="s">
        <v>4247</v>
      </c>
      <c r="D37" s="11" t="s">
        <v>1623</v>
      </c>
      <c r="E37" s="11" t="str">
        <f>"1,1163"</f>
        <v>1,1163</v>
      </c>
      <c r="F37" s="11" t="s">
        <v>1204</v>
      </c>
      <c r="G37" s="12" t="s">
        <v>70</v>
      </c>
      <c r="H37" s="12" t="s">
        <v>85</v>
      </c>
      <c r="I37" s="12" t="s">
        <v>157</v>
      </c>
      <c r="J37" s="13"/>
      <c r="K37" s="37" t="str">
        <f>"132,5"</f>
        <v>132,5</v>
      </c>
      <c r="L37" s="13" t="str">
        <f>"147,9097"</f>
        <v>147,9097</v>
      </c>
      <c r="M37" s="11" t="s">
        <v>4248</v>
      </c>
    </row>
    <row r="38" spans="1:13">
      <c r="A38" s="17" t="s">
        <v>62</v>
      </c>
      <c r="B38" s="14" t="s">
        <v>1393</v>
      </c>
      <c r="C38" s="14" t="s">
        <v>1394</v>
      </c>
      <c r="D38" s="14" t="s">
        <v>1395</v>
      </c>
      <c r="E38" s="14" t="str">
        <f>"1,1509"</f>
        <v>1,1509</v>
      </c>
      <c r="F38" s="14" t="s">
        <v>594</v>
      </c>
      <c r="G38" s="15" t="s">
        <v>145</v>
      </c>
      <c r="H38" s="16" t="s">
        <v>209</v>
      </c>
      <c r="I38" s="16" t="s">
        <v>209</v>
      </c>
      <c r="J38" s="17"/>
      <c r="K38" s="40" t="str">
        <f>"125,0"</f>
        <v>125,0</v>
      </c>
      <c r="L38" s="17" t="str">
        <f>"143,8625"</f>
        <v>143,8625</v>
      </c>
      <c r="M38" s="14" t="s">
        <v>1396</v>
      </c>
    </row>
    <row r="39" spans="1:13">
      <c r="A39" s="17" t="s">
        <v>92</v>
      </c>
      <c r="B39" s="14" t="s">
        <v>229</v>
      </c>
      <c r="C39" s="14" t="s">
        <v>4249</v>
      </c>
      <c r="D39" s="14" t="s">
        <v>231</v>
      </c>
      <c r="E39" s="14" t="str">
        <f>"1,1371"</f>
        <v>1,1371</v>
      </c>
      <c r="F39" s="14" t="s">
        <v>232</v>
      </c>
      <c r="G39" s="16" t="s">
        <v>205</v>
      </c>
      <c r="H39" s="16" t="s">
        <v>205</v>
      </c>
      <c r="I39" s="16" t="s">
        <v>205</v>
      </c>
      <c r="J39" s="17"/>
      <c r="K39" s="40">
        <v>0</v>
      </c>
      <c r="L39" s="17" t="str">
        <f>"0,0000"</f>
        <v>0,0000</v>
      </c>
      <c r="M39" s="14" t="s">
        <v>39</v>
      </c>
    </row>
    <row r="40" spans="1:13">
      <c r="A40" s="17" t="s">
        <v>15</v>
      </c>
      <c r="B40" s="14" t="s">
        <v>233</v>
      </c>
      <c r="C40" s="14" t="s">
        <v>234</v>
      </c>
      <c r="D40" s="14" t="s">
        <v>235</v>
      </c>
      <c r="E40" s="14" t="str">
        <f>"1,1251"</f>
        <v>1,1251</v>
      </c>
      <c r="F40" s="14" t="s">
        <v>91</v>
      </c>
      <c r="G40" s="15" t="s">
        <v>205</v>
      </c>
      <c r="H40" s="15" t="s">
        <v>151</v>
      </c>
      <c r="I40" s="16" t="s">
        <v>248</v>
      </c>
      <c r="J40" s="17"/>
      <c r="K40" s="40" t="str">
        <f>"160,0"</f>
        <v>160,0</v>
      </c>
      <c r="L40" s="17" t="str">
        <f>"180,0160"</f>
        <v>180,0160</v>
      </c>
      <c r="M40" s="14" t="s">
        <v>236</v>
      </c>
    </row>
    <row r="41" spans="1:13">
      <c r="A41" s="17" t="s">
        <v>62</v>
      </c>
      <c r="B41" s="14" t="s">
        <v>2351</v>
      </c>
      <c r="C41" s="14" t="s">
        <v>2352</v>
      </c>
      <c r="D41" s="14" t="s">
        <v>2353</v>
      </c>
      <c r="E41" s="14" t="str">
        <f>"1,1432"</f>
        <v>1,1432</v>
      </c>
      <c r="F41" s="14" t="s">
        <v>102</v>
      </c>
      <c r="G41" s="16" t="s">
        <v>85</v>
      </c>
      <c r="H41" s="15" t="s">
        <v>71</v>
      </c>
      <c r="I41" s="15" t="s">
        <v>209</v>
      </c>
      <c r="J41" s="17"/>
      <c r="K41" s="40" t="str">
        <f>"135,0"</f>
        <v>135,0</v>
      </c>
      <c r="L41" s="17" t="str">
        <f>"154,3320"</f>
        <v>154,3320</v>
      </c>
      <c r="M41" s="14" t="s">
        <v>105</v>
      </c>
    </row>
    <row r="42" spans="1:13">
      <c r="A42" s="20" t="s">
        <v>92</v>
      </c>
      <c r="B42" s="18" t="s">
        <v>4250</v>
      </c>
      <c r="C42" s="18" t="s">
        <v>4251</v>
      </c>
      <c r="D42" s="18" t="s">
        <v>1623</v>
      </c>
      <c r="E42" s="18" t="str">
        <f>"1,1163"</f>
        <v>1,1163</v>
      </c>
      <c r="F42" s="18" t="s">
        <v>4252</v>
      </c>
      <c r="G42" s="22" t="s">
        <v>145</v>
      </c>
      <c r="H42" s="22" t="s">
        <v>71</v>
      </c>
      <c r="I42" s="22" t="s">
        <v>71</v>
      </c>
      <c r="J42" s="20"/>
      <c r="K42" s="38">
        <v>0</v>
      </c>
      <c r="L42" s="20" t="str">
        <f>"0,0000"</f>
        <v>0,0000</v>
      </c>
      <c r="M42" s="18" t="s">
        <v>4253</v>
      </c>
    </row>
    <row r="43" spans="1:13">
      <c r="B43" s="5" t="s">
        <v>40</v>
      </c>
    </row>
    <row r="44" spans="1:13" ht="15.95">
      <c r="A44" s="102" t="s">
        <v>241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1:13">
      <c r="A45" s="13" t="s">
        <v>15</v>
      </c>
      <c r="B45" s="11" t="s">
        <v>4254</v>
      </c>
      <c r="C45" s="11" t="s">
        <v>4255</v>
      </c>
      <c r="D45" s="11" t="s">
        <v>4256</v>
      </c>
      <c r="E45" s="11" t="str">
        <f>"1,0792"</f>
        <v>1,0792</v>
      </c>
      <c r="F45" s="11" t="s">
        <v>91</v>
      </c>
      <c r="G45" s="12" t="s">
        <v>56</v>
      </c>
      <c r="H45" s="12" t="s">
        <v>162</v>
      </c>
      <c r="I45" s="21" t="s">
        <v>145</v>
      </c>
      <c r="J45" s="13"/>
      <c r="K45" s="37" t="str">
        <f>"122,5"</f>
        <v>122,5</v>
      </c>
      <c r="L45" s="13" t="str">
        <f>"132,2020"</f>
        <v>132,2020</v>
      </c>
      <c r="M45" s="11" t="s">
        <v>158</v>
      </c>
    </row>
    <row r="46" spans="1:13">
      <c r="A46" s="17" t="s">
        <v>15</v>
      </c>
      <c r="B46" s="14" t="s">
        <v>4257</v>
      </c>
      <c r="C46" s="14" t="s">
        <v>4258</v>
      </c>
      <c r="D46" s="14" t="s">
        <v>919</v>
      </c>
      <c r="E46" s="14" t="str">
        <f>"1,1007"</f>
        <v>1,1007</v>
      </c>
      <c r="F46" s="14" t="s">
        <v>176</v>
      </c>
      <c r="G46" s="15" t="s">
        <v>58</v>
      </c>
      <c r="H46" s="16" t="s">
        <v>59</v>
      </c>
      <c r="I46" s="15" t="s">
        <v>59</v>
      </c>
      <c r="J46" s="17"/>
      <c r="K46" s="40" t="str">
        <f>"145,0"</f>
        <v>145,0</v>
      </c>
      <c r="L46" s="17" t="str">
        <f>"159,6015"</f>
        <v>159,6015</v>
      </c>
      <c r="M46" s="14" t="s">
        <v>4259</v>
      </c>
    </row>
    <row r="47" spans="1:13">
      <c r="A47" s="17" t="s">
        <v>62</v>
      </c>
      <c r="B47" s="14" t="s">
        <v>259</v>
      </c>
      <c r="C47" s="14" t="s">
        <v>260</v>
      </c>
      <c r="D47" s="14" t="s">
        <v>261</v>
      </c>
      <c r="E47" s="14" t="str">
        <f>"1,0385"</f>
        <v>1,0385</v>
      </c>
      <c r="F47" s="14" t="s">
        <v>262</v>
      </c>
      <c r="G47" s="15" t="s">
        <v>71</v>
      </c>
      <c r="H47" s="15" t="s">
        <v>58</v>
      </c>
      <c r="I47" s="16" t="s">
        <v>60</v>
      </c>
      <c r="J47" s="17"/>
      <c r="K47" s="40" t="str">
        <f>"140,0"</f>
        <v>140,0</v>
      </c>
      <c r="L47" s="17" t="str">
        <f>"145,3900"</f>
        <v>145,3900</v>
      </c>
      <c r="M47" s="14" t="s">
        <v>263</v>
      </c>
    </row>
    <row r="48" spans="1:13">
      <c r="A48" s="17" t="s">
        <v>73</v>
      </c>
      <c r="B48" s="14" t="s">
        <v>275</v>
      </c>
      <c r="C48" s="14" t="s">
        <v>276</v>
      </c>
      <c r="D48" s="14" t="s">
        <v>277</v>
      </c>
      <c r="E48" s="14" t="str">
        <f>"1,0688"</f>
        <v>1,0688</v>
      </c>
      <c r="F48" s="14" t="s">
        <v>278</v>
      </c>
      <c r="G48" s="15" t="s">
        <v>56</v>
      </c>
      <c r="H48" s="15" t="s">
        <v>70</v>
      </c>
      <c r="I48" s="15" t="s">
        <v>145</v>
      </c>
      <c r="J48" s="17"/>
      <c r="K48" s="40" t="str">
        <f>"125,0"</f>
        <v>125,0</v>
      </c>
      <c r="L48" s="17" t="str">
        <f>"133,6000"</f>
        <v>133,6000</v>
      </c>
      <c r="M48" s="14" t="s">
        <v>182</v>
      </c>
    </row>
    <row r="49" spans="1:13">
      <c r="A49" s="17" t="s">
        <v>75</v>
      </c>
      <c r="B49" s="14" t="s">
        <v>4260</v>
      </c>
      <c r="C49" s="14" t="s">
        <v>1561</v>
      </c>
      <c r="D49" s="14" t="s">
        <v>4261</v>
      </c>
      <c r="E49" s="14" t="str">
        <f>"1,0455"</f>
        <v>1,0455</v>
      </c>
      <c r="F49" s="14" t="s">
        <v>900</v>
      </c>
      <c r="G49" s="15" t="s">
        <v>38</v>
      </c>
      <c r="H49" s="15" t="s">
        <v>55</v>
      </c>
      <c r="I49" s="16" t="s">
        <v>84</v>
      </c>
      <c r="J49" s="17"/>
      <c r="K49" s="40" t="str">
        <f>"112,5"</f>
        <v>112,5</v>
      </c>
      <c r="L49" s="17" t="str">
        <f>"117,6188"</f>
        <v>117,6188</v>
      </c>
      <c r="M49" s="14" t="s">
        <v>158</v>
      </c>
    </row>
    <row r="50" spans="1:13">
      <c r="A50" s="17" t="s">
        <v>15</v>
      </c>
      <c r="B50" s="14" t="s">
        <v>250</v>
      </c>
      <c r="C50" s="14" t="s">
        <v>295</v>
      </c>
      <c r="D50" s="14" t="s">
        <v>252</v>
      </c>
      <c r="E50" s="14" t="str">
        <f>"1,0432"</f>
        <v>1,0432</v>
      </c>
      <c r="F50" s="14" t="s">
        <v>253</v>
      </c>
      <c r="G50" s="15" t="s">
        <v>58</v>
      </c>
      <c r="H50" s="15" t="s">
        <v>60</v>
      </c>
      <c r="I50" s="16" t="s">
        <v>254</v>
      </c>
      <c r="J50" s="17"/>
      <c r="K50" s="40" t="str">
        <f>"150,0"</f>
        <v>150,0</v>
      </c>
      <c r="L50" s="17" t="str">
        <f>"157,2624"</f>
        <v>157,2624</v>
      </c>
      <c r="M50" s="14" t="s">
        <v>255</v>
      </c>
    </row>
    <row r="51" spans="1:13">
      <c r="A51" s="17" t="s">
        <v>62</v>
      </c>
      <c r="B51" s="14" t="s">
        <v>4262</v>
      </c>
      <c r="C51" s="14" t="s">
        <v>4263</v>
      </c>
      <c r="D51" s="14" t="s">
        <v>277</v>
      </c>
      <c r="E51" s="14" t="str">
        <f>"1,0688"</f>
        <v>1,0688</v>
      </c>
      <c r="F51" s="14" t="s">
        <v>1897</v>
      </c>
      <c r="G51" s="15" t="s">
        <v>36</v>
      </c>
      <c r="H51" s="15" t="s">
        <v>38</v>
      </c>
      <c r="I51" s="15" t="s">
        <v>69</v>
      </c>
      <c r="J51" s="17"/>
      <c r="K51" s="40" t="str">
        <f>"110,0"</f>
        <v>110,0</v>
      </c>
      <c r="L51" s="17" t="str">
        <f>"120,8599"</f>
        <v>120,8599</v>
      </c>
      <c r="M51" s="14" t="s">
        <v>4264</v>
      </c>
    </row>
    <row r="52" spans="1:13">
      <c r="A52" s="20" t="s">
        <v>15</v>
      </c>
      <c r="B52" s="18" t="s">
        <v>4265</v>
      </c>
      <c r="C52" s="18" t="s">
        <v>4266</v>
      </c>
      <c r="D52" s="18" t="s">
        <v>4267</v>
      </c>
      <c r="E52" s="18" t="str">
        <f>"1,0397"</f>
        <v>1,0397</v>
      </c>
      <c r="F52" s="18" t="s">
        <v>91</v>
      </c>
      <c r="G52" s="19" t="s">
        <v>56</v>
      </c>
      <c r="H52" s="19" t="s">
        <v>145</v>
      </c>
      <c r="I52" s="19" t="s">
        <v>209</v>
      </c>
      <c r="J52" s="20"/>
      <c r="K52" s="38" t="str">
        <f>"135,0"</f>
        <v>135,0</v>
      </c>
      <c r="L52" s="20" t="str">
        <f>"161,4134"</f>
        <v>161,4134</v>
      </c>
      <c r="M52" s="18" t="s">
        <v>130</v>
      </c>
    </row>
    <row r="53" spans="1:13">
      <c r="B53" s="5" t="s">
        <v>40</v>
      </c>
    </row>
    <row r="54" spans="1:13" ht="15.95">
      <c r="A54" s="102" t="s">
        <v>301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</row>
    <row r="55" spans="1:13">
      <c r="A55" s="13" t="s">
        <v>15</v>
      </c>
      <c r="B55" s="11" t="s">
        <v>306</v>
      </c>
      <c r="C55" s="11" t="s">
        <v>307</v>
      </c>
      <c r="D55" s="11" t="s">
        <v>308</v>
      </c>
      <c r="E55" s="11" t="str">
        <f>"0,9514"</f>
        <v>0,9514</v>
      </c>
      <c r="F55" s="11" t="s">
        <v>309</v>
      </c>
      <c r="G55" s="12" t="s">
        <v>60</v>
      </c>
      <c r="H55" s="21" t="s">
        <v>151</v>
      </c>
      <c r="I55" s="21" t="s">
        <v>151</v>
      </c>
      <c r="J55" s="13"/>
      <c r="K55" s="37" t="str">
        <f>"150,0"</f>
        <v>150,0</v>
      </c>
      <c r="L55" s="13" t="str">
        <f>"142,7100"</f>
        <v>142,7100</v>
      </c>
      <c r="M55" s="11" t="s">
        <v>310</v>
      </c>
    </row>
    <row r="56" spans="1:13">
      <c r="A56" s="17" t="s">
        <v>15</v>
      </c>
      <c r="B56" s="14" t="s">
        <v>311</v>
      </c>
      <c r="C56" s="14" t="s">
        <v>312</v>
      </c>
      <c r="D56" s="14" t="s">
        <v>313</v>
      </c>
      <c r="E56" s="14" t="str">
        <f>"0,9522"</f>
        <v>0,9522</v>
      </c>
      <c r="F56" s="14" t="s">
        <v>314</v>
      </c>
      <c r="G56" s="15" t="s">
        <v>151</v>
      </c>
      <c r="H56" s="16" t="s">
        <v>248</v>
      </c>
      <c r="I56" s="15" t="s">
        <v>248</v>
      </c>
      <c r="J56" s="17"/>
      <c r="K56" s="40" t="str">
        <f>"170,0"</f>
        <v>170,0</v>
      </c>
      <c r="L56" s="17" t="str">
        <f>"161,8740"</f>
        <v>161,8740</v>
      </c>
      <c r="M56" s="14" t="s">
        <v>315</v>
      </c>
    </row>
    <row r="57" spans="1:13">
      <c r="A57" s="17" t="s">
        <v>62</v>
      </c>
      <c r="B57" s="14" t="s">
        <v>306</v>
      </c>
      <c r="C57" s="14" t="s">
        <v>316</v>
      </c>
      <c r="D57" s="14" t="s">
        <v>308</v>
      </c>
      <c r="E57" s="14" t="str">
        <f>"0,9514"</f>
        <v>0,9514</v>
      </c>
      <c r="F57" s="14" t="s">
        <v>309</v>
      </c>
      <c r="G57" s="15" t="s">
        <v>60</v>
      </c>
      <c r="H57" s="16" t="s">
        <v>151</v>
      </c>
      <c r="I57" s="16" t="s">
        <v>151</v>
      </c>
      <c r="J57" s="17"/>
      <c r="K57" s="40" t="str">
        <f>"150,0"</f>
        <v>150,0</v>
      </c>
      <c r="L57" s="17" t="str">
        <f>"142,7100"</f>
        <v>142,7100</v>
      </c>
      <c r="M57" s="14" t="s">
        <v>310</v>
      </c>
    </row>
    <row r="58" spans="1:13">
      <c r="A58" s="20" t="s">
        <v>73</v>
      </c>
      <c r="B58" s="18" t="s">
        <v>4268</v>
      </c>
      <c r="C58" s="18" t="s">
        <v>4269</v>
      </c>
      <c r="D58" s="18" t="s">
        <v>1403</v>
      </c>
      <c r="E58" s="18" t="str">
        <f>"0,9587"</f>
        <v>0,9587</v>
      </c>
      <c r="F58" s="18" t="s">
        <v>91</v>
      </c>
      <c r="G58" s="19" t="s">
        <v>147</v>
      </c>
      <c r="H58" s="19" t="s">
        <v>58</v>
      </c>
      <c r="I58" s="19" t="s">
        <v>59</v>
      </c>
      <c r="J58" s="20"/>
      <c r="K58" s="38" t="str">
        <f>"145,0"</f>
        <v>145,0</v>
      </c>
      <c r="L58" s="20" t="str">
        <f>"139,0115"</f>
        <v>139,0115</v>
      </c>
      <c r="M58" s="18" t="s">
        <v>1518</v>
      </c>
    </row>
    <row r="59" spans="1:13">
      <c r="B59" s="5" t="s">
        <v>40</v>
      </c>
    </row>
    <row r="60" spans="1:13" ht="15.95">
      <c r="A60" s="102" t="s">
        <v>334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3">
      <c r="A61" s="10" t="s">
        <v>15</v>
      </c>
      <c r="B61" s="7" t="s">
        <v>4270</v>
      </c>
      <c r="C61" s="7" t="s">
        <v>4271</v>
      </c>
      <c r="D61" s="7" t="s">
        <v>4272</v>
      </c>
      <c r="E61" s="7" t="str">
        <f>"0,9256"</f>
        <v>0,9256</v>
      </c>
      <c r="F61" s="7" t="s">
        <v>176</v>
      </c>
      <c r="G61" s="8" t="s">
        <v>38</v>
      </c>
      <c r="H61" s="8" t="s">
        <v>70</v>
      </c>
      <c r="I61" s="9" t="s">
        <v>209</v>
      </c>
      <c r="J61" s="10"/>
      <c r="K61" s="41" t="str">
        <f>"120,0"</f>
        <v>120,0</v>
      </c>
      <c r="L61" s="10" t="str">
        <f>"111,0720"</f>
        <v>111,0720</v>
      </c>
      <c r="M61" s="7" t="s">
        <v>4273</v>
      </c>
    </row>
    <row r="62" spans="1:13">
      <c r="B62" s="5" t="s">
        <v>40</v>
      </c>
    </row>
    <row r="63" spans="1:13" ht="15.95">
      <c r="A63" s="102" t="s">
        <v>598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</row>
    <row r="64" spans="1:13">
      <c r="A64" s="13" t="s">
        <v>15</v>
      </c>
      <c r="B64" s="11" t="s">
        <v>1410</v>
      </c>
      <c r="C64" s="11" t="s">
        <v>1411</v>
      </c>
      <c r="D64" s="11" t="s">
        <v>1412</v>
      </c>
      <c r="E64" s="11" t="str">
        <f>"0,8928"</f>
        <v>0,8928</v>
      </c>
      <c r="F64" s="11" t="s">
        <v>125</v>
      </c>
      <c r="G64" s="12" t="s">
        <v>205</v>
      </c>
      <c r="H64" s="21" t="s">
        <v>254</v>
      </c>
      <c r="I64" s="12" t="s">
        <v>254</v>
      </c>
      <c r="J64" s="13"/>
      <c r="K64" s="37" t="str">
        <f>"157,5"</f>
        <v>157,5</v>
      </c>
      <c r="L64" s="13" t="str">
        <f>"140,6160"</f>
        <v>140,6160</v>
      </c>
      <c r="M64" s="11" t="s">
        <v>158</v>
      </c>
    </row>
    <row r="65" spans="1:13">
      <c r="A65" s="17" t="s">
        <v>62</v>
      </c>
      <c r="B65" s="14" t="s">
        <v>4274</v>
      </c>
      <c r="C65" s="14" t="s">
        <v>4275</v>
      </c>
      <c r="D65" s="14" t="s">
        <v>2041</v>
      </c>
      <c r="E65" s="14" t="str">
        <f>"0,8657"</f>
        <v>0,8657</v>
      </c>
      <c r="F65" s="14" t="s">
        <v>1309</v>
      </c>
      <c r="G65" s="15" t="s">
        <v>162</v>
      </c>
      <c r="H65" s="16" t="s">
        <v>85</v>
      </c>
      <c r="I65" s="16" t="s">
        <v>85</v>
      </c>
      <c r="J65" s="17"/>
      <c r="K65" s="40" t="str">
        <f>"122,5"</f>
        <v>122,5</v>
      </c>
      <c r="L65" s="17" t="str">
        <f>"106,0483"</f>
        <v>106,0483</v>
      </c>
      <c r="M65" s="14" t="s">
        <v>4276</v>
      </c>
    </row>
    <row r="66" spans="1:13">
      <c r="A66" s="20" t="s">
        <v>15</v>
      </c>
      <c r="B66" s="18" t="s">
        <v>4274</v>
      </c>
      <c r="C66" s="18" t="s">
        <v>4277</v>
      </c>
      <c r="D66" s="18" t="s">
        <v>2041</v>
      </c>
      <c r="E66" s="18" t="str">
        <f>"0,8657"</f>
        <v>0,8657</v>
      </c>
      <c r="F66" s="18" t="s">
        <v>1309</v>
      </c>
      <c r="G66" s="19" t="s">
        <v>162</v>
      </c>
      <c r="H66" s="22" t="s">
        <v>85</v>
      </c>
      <c r="I66" s="22" t="s">
        <v>85</v>
      </c>
      <c r="J66" s="20"/>
      <c r="K66" s="38" t="str">
        <f>"122,5"</f>
        <v>122,5</v>
      </c>
      <c r="L66" s="20" t="str">
        <f>"109,0176"</f>
        <v>109,0176</v>
      </c>
      <c r="M66" s="18" t="s">
        <v>4276</v>
      </c>
    </row>
    <row r="67" spans="1:13">
      <c r="B67" s="5" t="s">
        <v>40</v>
      </c>
    </row>
    <row r="68" spans="1:13" ht="15.95">
      <c r="A68" s="102" t="s">
        <v>195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</row>
    <row r="69" spans="1:13">
      <c r="A69" s="13" t="s">
        <v>15</v>
      </c>
      <c r="B69" s="11" t="s">
        <v>4278</v>
      </c>
      <c r="C69" s="11" t="s">
        <v>4279</v>
      </c>
      <c r="D69" s="11" t="s">
        <v>4280</v>
      </c>
      <c r="E69" s="11" t="str">
        <f>"0,8830"</f>
        <v>0,8830</v>
      </c>
      <c r="F69" s="11" t="s">
        <v>4281</v>
      </c>
      <c r="G69" s="12" t="s">
        <v>152</v>
      </c>
      <c r="H69" s="12" t="s">
        <v>351</v>
      </c>
      <c r="I69" s="21" t="s">
        <v>398</v>
      </c>
      <c r="J69" s="13"/>
      <c r="K69" s="37" t="str">
        <f>"175,0"</f>
        <v>175,0</v>
      </c>
      <c r="L69" s="13" t="str">
        <f>"154,5250"</f>
        <v>154,5250</v>
      </c>
      <c r="M69" s="11" t="s">
        <v>158</v>
      </c>
    </row>
    <row r="70" spans="1:13">
      <c r="A70" s="17" t="s">
        <v>62</v>
      </c>
      <c r="B70" s="14" t="s">
        <v>2084</v>
      </c>
      <c r="C70" s="14" t="s">
        <v>2085</v>
      </c>
      <c r="D70" s="14" t="s">
        <v>226</v>
      </c>
      <c r="E70" s="14" t="str">
        <f>"0,8964"</f>
        <v>0,8964</v>
      </c>
      <c r="F70" s="14" t="s">
        <v>1155</v>
      </c>
      <c r="G70" s="15" t="s">
        <v>59</v>
      </c>
      <c r="H70" s="15" t="s">
        <v>205</v>
      </c>
      <c r="I70" s="16" t="s">
        <v>2086</v>
      </c>
      <c r="J70" s="17"/>
      <c r="K70" s="40" t="str">
        <f>"155,0"</f>
        <v>155,0</v>
      </c>
      <c r="L70" s="17" t="str">
        <f>"138,9420"</f>
        <v>138,9420</v>
      </c>
      <c r="M70" s="14" t="s">
        <v>2087</v>
      </c>
    </row>
    <row r="71" spans="1:13">
      <c r="A71" s="17" t="s">
        <v>15</v>
      </c>
      <c r="B71" s="14" t="s">
        <v>348</v>
      </c>
      <c r="C71" s="14" t="s">
        <v>349</v>
      </c>
      <c r="D71" s="14" t="s">
        <v>202</v>
      </c>
      <c r="E71" s="14" t="str">
        <f>"0,8529"</f>
        <v>0,8529</v>
      </c>
      <c r="F71" s="14" t="s">
        <v>350</v>
      </c>
      <c r="G71" s="15" t="s">
        <v>152</v>
      </c>
      <c r="H71" s="15" t="s">
        <v>248</v>
      </c>
      <c r="I71" s="15" t="s">
        <v>351</v>
      </c>
      <c r="J71" s="17"/>
      <c r="K71" s="40" t="str">
        <f>"175,0"</f>
        <v>175,0</v>
      </c>
      <c r="L71" s="17" t="str">
        <f>"149,2575"</f>
        <v>149,2575</v>
      </c>
      <c r="M71" s="14" t="s">
        <v>352</v>
      </c>
    </row>
    <row r="72" spans="1:13">
      <c r="A72" s="17" t="s">
        <v>15</v>
      </c>
      <c r="B72" s="14" t="s">
        <v>2414</v>
      </c>
      <c r="C72" s="14" t="s">
        <v>4282</v>
      </c>
      <c r="D72" s="14" t="s">
        <v>208</v>
      </c>
      <c r="E72" s="14" t="str">
        <f>"0,8648"</f>
        <v>0,8648</v>
      </c>
      <c r="F72" s="14" t="s">
        <v>720</v>
      </c>
      <c r="G72" s="16" t="s">
        <v>627</v>
      </c>
      <c r="H72" s="15" t="s">
        <v>627</v>
      </c>
      <c r="I72" s="15" t="s">
        <v>490</v>
      </c>
      <c r="J72" s="17"/>
      <c r="K72" s="40" t="str">
        <f>"250,0"</f>
        <v>250,0</v>
      </c>
      <c r="L72" s="17" t="str">
        <f>"216,2000"</f>
        <v>216,2000</v>
      </c>
      <c r="M72" s="14" t="s">
        <v>158</v>
      </c>
    </row>
    <row r="73" spans="1:13">
      <c r="A73" s="20" t="s">
        <v>62</v>
      </c>
      <c r="B73" s="18" t="s">
        <v>4278</v>
      </c>
      <c r="C73" s="18" t="s">
        <v>4283</v>
      </c>
      <c r="D73" s="18" t="s">
        <v>4280</v>
      </c>
      <c r="E73" s="18" t="str">
        <f>"0,8830"</f>
        <v>0,8830</v>
      </c>
      <c r="F73" s="18" t="s">
        <v>4281</v>
      </c>
      <c r="G73" s="19" t="s">
        <v>152</v>
      </c>
      <c r="H73" s="19" t="s">
        <v>351</v>
      </c>
      <c r="I73" s="22" t="s">
        <v>398</v>
      </c>
      <c r="J73" s="20"/>
      <c r="K73" s="38" t="str">
        <f>"175,0"</f>
        <v>175,0</v>
      </c>
      <c r="L73" s="20" t="str">
        <f>"154,5250"</f>
        <v>154,5250</v>
      </c>
      <c r="M73" s="18" t="s">
        <v>158</v>
      </c>
    </row>
    <row r="74" spans="1:13">
      <c r="B74" s="5" t="s">
        <v>40</v>
      </c>
    </row>
    <row r="75" spans="1:13" ht="15.95">
      <c r="A75" s="102" t="s">
        <v>241</v>
      </c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</row>
    <row r="76" spans="1:13">
      <c r="A76" s="13" t="s">
        <v>15</v>
      </c>
      <c r="B76" s="11" t="s">
        <v>369</v>
      </c>
      <c r="C76" s="11" t="s">
        <v>370</v>
      </c>
      <c r="D76" s="11" t="s">
        <v>244</v>
      </c>
      <c r="E76" s="11" t="str">
        <f>"0,7983"</f>
        <v>0,7983</v>
      </c>
      <c r="F76" s="11" t="s">
        <v>166</v>
      </c>
      <c r="G76" s="12" t="s">
        <v>60</v>
      </c>
      <c r="H76" s="12" t="s">
        <v>151</v>
      </c>
      <c r="I76" s="12" t="s">
        <v>347</v>
      </c>
      <c r="J76" s="13"/>
      <c r="K76" s="37" t="str">
        <f>"167,5"</f>
        <v>167,5</v>
      </c>
      <c r="L76" s="13" t="str">
        <f>"133,7153"</f>
        <v>133,7153</v>
      </c>
      <c r="M76" s="11" t="s">
        <v>167</v>
      </c>
    </row>
    <row r="77" spans="1:13">
      <c r="A77" s="17" t="s">
        <v>62</v>
      </c>
      <c r="B77" s="14" t="s">
        <v>4284</v>
      </c>
      <c r="C77" s="14" t="s">
        <v>4285</v>
      </c>
      <c r="D77" s="14" t="s">
        <v>3047</v>
      </c>
      <c r="E77" s="14" t="str">
        <f>"0,8025"</f>
        <v>0,8025</v>
      </c>
      <c r="F77" s="14" t="s">
        <v>1481</v>
      </c>
      <c r="G77" s="15" t="s">
        <v>71</v>
      </c>
      <c r="H77" s="15" t="s">
        <v>60</v>
      </c>
      <c r="I77" s="16" t="s">
        <v>151</v>
      </c>
      <c r="J77" s="17"/>
      <c r="K77" s="40" t="str">
        <f>"150,0"</f>
        <v>150,0</v>
      </c>
      <c r="L77" s="17" t="str">
        <f>"120,3750"</f>
        <v>120,3750</v>
      </c>
      <c r="M77" s="14" t="s">
        <v>4286</v>
      </c>
    </row>
    <row r="78" spans="1:13">
      <c r="A78" s="17" t="s">
        <v>73</v>
      </c>
      <c r="B78" s="14" t="s">
        <v>4287</v>
      </c>
      <c r="C78" s="14" t="s">
        <v>4288</v>
      </c>
      <c r="D78" s="14" t="s">
        <v>2441</v>
      </c>
      <c r="E78" s="14" t="str">
        <f>"0,7852"</f>
        <v>0,7852</v>
      </c>
      <c r="F78" s="14" t="s">
        <v>2142</v>
      </c>
      <c r="G78" s="15" t="s">
        <v>70</v>
      </c>
      <c r="H78" s="15" t="s">
        <v>71</v>
      </c>
      <c r="I78" s="16" t="s">
        <v>58</v>
      </c>
      <c r="J78" s="17"/>
      <c r="K78" s="40" t="str">
        <f>"130,0"</f>
        <v>130,0</v>
      </c>
      <c r="L78" s="17" t="str">
        <f>"102,0760"</f>
        <v>102,0760</v>
      </c>
      <c r="M78" s="14" t="s">
        <v>158</v>
      </c>
    </row>
    <row r="79" spans="1:13" ht="12.75">
      <c r="A79" s="71" t="s">
        <v>2888</v>
      </c>
      <c r="B79" s="14" t="s">
        <v>4289</v>
      </c>
      <c r="C79" s="14" t="s">
        <v>4290</v>
      </c>
      <c r="D79" s="14" t="s">
        <v>970</v>
      </c>
      <c r="E79" s="14" t="str">
        <f>"0,7710"</f>
        <v>0,7710</v>
      </c>
      <c r="F79" s="14" t="s">
        <v>91</v>
      </c>
      <c r="G79" s="15" t="s">
        <v>384</v>
      </c>
      <c r="H79" s="15" t="s">
        <v>385</v>
      </c>
      <c r="I79" s="16" t="s">
        <v>507</v>
      </c>
      <c r="J79" s="17"/>
      <c r="K79" s="40" t="str">
        <f>"222,5"</f>
        <v>222,5</v>
      </c>
      <c r="L79" s="17" t="str">
        <f>"171,5475"</f>
        <v>171,5475</v>
      </c>
      <c r="M79" s="14" t="s">
        <v>4291</v>
      </c>
    </row>
    <row r="80" spans="1:13">
      <c r="A80" s="17" t="s">
        <v>15</v>
      </c>
      <c r="B80" s="14" t="s">
        <v>380</v>
      </c>
      <c r="C80" s="14" t="s">
        <v>381</v>
      </c>
      <c r="D80" s="14" t="s">
        <v>367</v>
      </c>
      <c r="E80" s="14" t="str">
        <f>"0,7794"</f>
        <v>0,7794</v>
      </c>
      <c r="F80" s="14" t="s">
        <v>382</v>
      </c>
      <c r="G80" s="15" t="s">
        <v>383</v>
      </c>
      <c r="H80" s="15" t="s">
        <v>384</v>
      </c>
      <c r="I80" s="16" t="s">
        <v>385</v>
      </c>
      <c r="J80" s="17"/>
      <c r="K80" s="40" t="str">
        <f>"210,0"</f>
        <v>210,0</v>
      </c>
      <c r="L80" s="17" t="str">
        <f>"163,6740"</f>
        <v>163,6740</v>
      </c>
      <c r="M80" s="14" t="s">
        <v>386</v>
      </c>
    </row>
    <row r="81" spans="1:13">
      <c r="A81" s="17" t="s">
        <v>62</v>
      </c>
      <c r="B81" s="14" t="s">
        <v>4292</v>
      </c>
      <c r="C81" s="14" t="s">
        <v>4293</v>
      </c>
      <c r="D81" s="14" t="s">
        <v>363</v>
      </c>
      <c r="E81" s="14" t="str">
        <f>"0,7973"</f>
        <v>0,7973</v>
      </c>
      <c r="F81" s="14" t="s">
        <v>91</v>
      </c>
      <c r="G81" s="16" t="s">
        <v>151</v>
      </c>
      <c r="H81" s="16" t="s">
        <v>248</v>
      </c>
      <c r="I81" s="15" t="s">
        <v>248</v>
      </c>
      <c r="J81" s="17"/>
      <c r="K81" s="40" t="str">
        <f>"170,0"</f>
        <v>170,0</v>
      </c>
      <c r="L81" s="17" t="str">
        <f>"135,5410"</f>
        <v>135,5410</v>
      </c>
      <c r="M81" s="14" t="s">
        <v>158</v>
      </c>
    </row>
    <row r="82" spans="1:13">
      <c r="A82" s="20" t="s">
        <v>15</v>
      </c>
      <c r="B82" s="18" t="s">
        <v>4294</v>
      </c>
      <c r="C82" s="18" t="s">
        <v>4295</v>
      </c>
      <c r="D82" s="18" t="s">
        <v>2441</v>
      </c>
      <c r="E82" s="18" t="str">
        <f>"0,7852"</f>
        <v>0,7852</v>
      </c>
      <c r="F82" s="18" t="s">
        <v>3781</v>
      </c>
      <c r="G82" s="19" t="s">
        <v>248</v>
      </c>
      <c r="H82" s="19" t="s">
        <v>452</v>
      </c>
      <c r="I82" s="19" t="s">
        <v>368</v>
      </c>
      <c r="J82" s="20"/>
      <c r="K82" s="38" t="str">
        <f>"185,0"</f>
        <v>185,0</v>
      </c>
      <c r="L82" s="20" t="str">
        <f>"231,9834"</f>
        <v>231,9834</v>
      </c>
      <c r="M82" s="18" t="s">
        <v>158</v>
      </c>
    </row>
    <row r="83" spans="1:13">
      <c r="B83" s="5" t="s">
        <v>40</v>
      </c>
    </row>
    <row r="84" spans="1:13" ht="15.95">
      <c r="A84" s="102" t="s">
        <v>301</v>
      </c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</row>
    <row r="85" spans="1:13">
      <c r="A85" s="13" t="s">
        <v>15</v>
      </c>
      <c r="B85" s="11" t="s">
        <v>400</v>
      </c>
      <c r="C85" s="11" t="s">
        <v>401</v>
      </c>
      <c r="D85" s="11" t="s">
        <v>402</v>
      </c>
      <c r="E85" s="11" t="str">
        <f>"0,7285"</f>
        <v>0,7285</v>
      </c>
      <c r="F85" s="11" t="s">
        <v>403</v>
      </c>
      <c r="G85" s="12" t="s">
        <v>248</v>
      </c>
      <c r="H85" s="12" t="s">
        <v>392</v>
      </c>
      <c r="I85" s="12" t="s">
        <v>374</v>
      </c>
      <c r="J85" s="13"/>
      <c r="K85" s="37" t="str">
        <f>"200,0"</f>
        <v>200,0</v>
      </c>
      <c r="L85" s="13" t="str">
        <f>"145,7000"</f>
        <v>145,7000</v>
      </c>
      <c r="M85" s="11" t="s">
        <v>158</v>
      </c>
    </row>
    <row r="86" spans="1:13">
      <c r="A86" s="17" t="s">
        <v>62</v>
      </c>
      <c r="B86" s="14" t="s">
        <v>1416</v>
      </c>
      <c r="C86" s="14" t="s">
        <v>1417</v>
      </c>
      <c r="D86" s="14" t="s">
        <v>451</v>
      </c>
      <c r="E86" s="14" t="str">
        <f>"0,7242"</f>
        <v>0,7242</v>
      </c>
      <c r="F86" s="14" t="s">
        <v>45</v>
      </c>
      <c r="G86" s="15" t="s">
        <v>398</v>
      </c>
      <c r="H86" s="15" t="s">
        <v>374</v>
      </c>
      <c r="I86" s="16" t="s">
        <v>1418</v>
      </c>
      <c r="J86" s="17"/>
      <c r="K86" s="40" t="str">
        <f>"200,0"</f>
        <v>200,0</v>
      </c>
      <c r="L86" s="17" t="str">
        <f>"144,8400"</f>
        <v>144,8400</v>
      </c>
      <c r="M86" s="14" t="s">
        <v>50</v>
      </c>
    </row>
    <row r="87" spans="1:13">
      <c r="A87" s="17" t="s">
        <v>73</v>
      </c>
      <c r="B87" s="14" t="s">
        <v>4079</v>
      </c>
      <c r="C87" s="14" t="s">
        <v>4296</v>
      </c>
      <c r="D87" s="14" t="s">
        <v>1013</v>
      </c>
      <c r="E87" s="14" t="str">
        <f>"0,7307"</f>
        <v>0,7307</v>
      </c>
      <c r="F87" s="14" t="s">
        <v>2128</v>
      </c>
      <c r="G87" s="15" t="s">
        <v>351</v>
      </c>
      <c r="H87" s="15" t="s">
        <v>458</v>
      </c>
      <c r="I87" s="15" t="s">
        <v>368</v>
      </c>
      <c r="J87" s="17"/>
      <c r="K87" s="40" t="str">
        <f>"185,0"</f>
        <v>185,0</v>
      </c>
      <c r="L87" s="17" t="str">
        <f>"135,1795"</f>
        <v>135,1795</v>
      </c>
      <c r="M87" s="14" t="s">
        <v>4081</v>
      </c>
    </row>
    <row r="88" spans="1:13">
      <c r="A88" s="17" t="s">
        <v>75</v>
      </c>
      <c r="B88" s="14" t="s">
        <v>2479</v>
      </c>
      <c r="C88" s="14" t="s">
        <v>2480</v>
      </c>
      <c r="D88" s="14" t="s">
        <v>2481</v>
      </c>
      <c r="E88" s="14" t="str">
        <f>"0,7544"</f>
        <v>0,7544</v>
      </c>
      <c r="F88" s="14" t="s">
        <v>1309</v>
      </c>
      <c r="G88" s="15" t="s">
        <v>151</v>
      </c>
      <c r="H88" s="16" t="s">
        <v>152</v>
      </c>
      <c r="I88" s="16" t="s">
        <v>152</v>
      </c>
      <c r="J88" s="17"/>
      <c r="K88" s="40" t="str">
        <f>"160,0"</f>
        <v>160,0</v>
      </c>
      <c r="L88" s="17" t="str">
        <f>"120,7040"</f>
        <v>120,7040</v>
      </c>
      <c r="M88" s="14" t="s">
        <v>2386</v>
      </c>
    </row>
    <row r="89" spans="1:13">
      <c r="A89" s="17" t="s">
        <v>87</v>
      </c>
      <c r="B89" s="14" t="s">
        <v>412</v>
      </c>
      <c r="C89" s="14" t="s">
        <v>413</v>
      </c>
      <c r="D89" s="14" t="s">
        <v>331</v>
      </c>
      <c r="E89" s="14" t="str">
        <f>"0,7126"</f>
        <v>0,7126</v>
      </c>
      <c r="F89" s="14" t="s">
        <v>309</v>
      </c>
      <c r="G89" s="15" t="s">
        <v>60</v>
      </c>
      <c r="H89" s="15" t="s">
        <v>151</v>
      </c>
      <c r="I89" s="16" t="s">
        <v>248</v>
      </c>
      <c r="J89" s="17"/>
      <c r="K89" s="40" t="str">
        <f>"160,0"</f>
        <v>160,0</v>
      </c>
      <c r="L89" s="17" t="str">
        <f>"114,0160"</f>
        <v>114,0160</v>
      </c>
      <c r="M89" s="14" t="s">
        <v>310</v>
      </c>
    </row>
    <row r="90" spans="1:13">
      <c r="A90" s="17" t="s">
        <v>168</v>
      </c>
      <c r="B90" s="14" t="s">
        <v>4297</v>
      </c>
      <c r="C90" s="14" t="s">
        <v>4298</v>
      </c>
      <c r="D90" s="14" t="s">
        <v>425</v>
      </c>
      <c r="E90" s="14" t="str">
        <f>"0,7461"</f>
        <v>0,7461</v>
      </c>
      <c r="F90" s="14" t="s">
        <v>91</v>
      </c>
      <c r="G90" s="15" t="s">
        <v>145</v>
      </c>
      <c r="H90" s="15" t="s">
        <v>71</v>
      </c>
      <c r="I90" s="16" t="s">
        <v>58</v>
      </c>
      <c r="J90" s="17"/>
      <c r="K90" s="40" t="str">
        <f>"130,0"</f>
        <v>130,0</v>
      </c>
      <c r="L90" s="17" t="str">
        <f>"96,9930"</f>
        <v>96,9930</v>
      </c>
      <c r="M90" s="14" t="s">
        <v>158</v>
      </c>
    </row>
    <row r="91" spans="1:13">
      <c r="A91" s="17" t="s">
        <v>15</v>
      </c>
      <c r="B91" s="14" t="s">
        <v>4299</v>
      </c>
      <c r="C91" s="14" t="s">
        <v>4300</v>
      </c>
      <c r="D91" s="14" t="s">
        <v>2505</v>
      </c>
      <c r="E91" s="14" t="str">
        <f>"0,7207"</f>
        <v>0,7207</v>
      </c>
      <c r="F91" s="14" t="s">
        <v>4301</v>
      </c>
      <c r="G91" s="16" t="s">
        <v>384</v>
      </c>
      <c r="H91" s="16" t="s">
        <v>384</v>
      </c>
      <c r="I91" s="15" t="s">
        <v>384</v>
      </c>
      <c r="J91" s="17"/>
      <c r="K91" s="40" t="str">
        <f>"210,0"</f>
        <v>210,0</v>
      </c>
      <c r="L91" s="17" t="str">
        <f>"151,3470"</f>
        <v>151,3470</v>
      </c>
      <c r="M91" s="14" t="s">
        <v>158</v>
      </c>
    </row>
    <row r="92" spans="1:13">
      <c r="A92" s="17" t="s">
        <v>15</v>
      </c>
      <c r="B92" s="14" t="s">
        <v>1419</v>
      </c>
      <c r="C92" s="14" t="s">
        <v>1420</v>
      </c>
      <c r="D92" s="14" t="s">
        <v>1421</v>
      </c>
      <c r="E92" s="14" t="str">
        <f>"0,7179"</f>
        <v>0,7179</v>
      </c>
      <c r="F92" s="14" t="s">
        <v>618</v>
      </c>
      <c r="G92" s="15" t="s">
        <v>523</v>
      </c>
      <c r="H92" s="15" t="s">
        <v>754</v>
      </c>
      <c r="I92" s="15" t="s">
        <v>803</v>
      </c>
      <c r="J92" s="16" t="s">
        <v>1422</v>
      </c>
      <c r="K92" s="40" t="str">
        <f>"282,5"</f>
        <v>282,5</v>
      </c>
      <c r="L92" s="17" t="str">
        <f>"202,8067"</f>
        <v>202,8067</v>
      </c>
      <c r="M92" s="14" t="s">
        <v>619</v>
      </c>
    </row>
    <row r="93" spans="1:13" ht="12.75">
      <c r="A93" s="71" t="s">
        <v>2888</v>
      </c>
      <c r="B93" s="14" t="s">
        <v>4302</v>
      </c>
      <c r="C93" s="14" t="s">
        <v>4303</v>
      </c>
      <c r="D93" s="14" t="s">
        <v>416</v>
      </c>
      <c r="E93" s="14" t="str">
        <f>"0,7249"</f>
        <v>0,7249</v>
      </c>
      <c r="F93" s="14" t="s">
        <v>1897</v>
      </c>
      <c r="G93" s="15" t="s">
        <v>490</v>
      </c>
      <c r="H93" s="15" t="s">
        <v>491</v>
      </c>
      <c r="I93" s="16" t="s">
        <v>738</v>
      </c>
      <c r="J93" s="17"/>
      <c r="K93" s="40" t="str">
        <f>"265,0"</f>
        <v>265,0</v>
      </c>
      <c r="L93" s="17" t="str">
        <f>"192,0985"</f>
        <v>192,0985</v>
      </c>
      <c r="M93" s="14" t="s">
        <v>4264</v>
      </c>
    </row>
    <row r="94" spans="1:13">
      <c r="A94" s="17" t="s">
        <v>62</v>
      </c>
      <c r="B94" s="14" t="s">
        <v>1423</v>
      </c>
      <c r="C94" s="14" t="s">
        <v>1424</v>
      </c>
      <c r="D94" s="14" t="s">
        <v>1022</v>
      </c>
      <c r="E94" s="14" t="str">
        <f>"0,7221"</f>
        <v>0,7221</v>
      </c>
      <c r="F94" s="14" t="s">
        <v>1425</v>
      </c>
      <c r="G94" s="16" t="s">
        <v>420</v>
      </c>
      <c r="H94" s="15" t="s">
        <v>421</v>
      </c>
      <c r="I94" s="15" t="s">
        <v>627</v>
      </c>
      <c r="J94" s="17"/>
      <c r="K94" s="40" t="str">
        <f>"245,0"</f>
        <v>245,0</v>
      </c>
      <c r="L94" s="17" t="str">
        <f>"176,9145"</f>
        <v>176,9145</v>
      </c>
      <c r="M94" s="14" t="s">
        <v>158</v>
      </c>
    </row>
    <row r="95" spans="1:13">
      <c r="A95" s="17" t="s">
        <v>73</v>
      </c>
      <c r="B95" s="14" t="s">
        <v>429</v>
      </c>
      <c r="C95" s="14" t="s">
        <v>430</v>
      </c>
      <c r="D95" s="14" t="s">
        <v>331</v>
      </c>
      <c r="E95" s="14" t="str">
        <f>"0,7126"</f>
        <v>0,7126</v>
      </c>
      <c r="F95" s="14" t="s">
        <v>91</v>
      </c>
      <c r="G95" s="16" t="s">
        <v>422</v>
      </c>
      <c r="H95" s="15" t="s">
        <v>422</v>
      </c>
      <c r="I95" s="16" t="s">
        <v>431</v>
      </c>
      <c r="J95" s="17"/>
      <c r="K95" s="40" t="str">
        <f>"240,0"</f>
        <v>240,0</v>
      </c>
      <c r="L95" s="17" t="str">
        <f>"171,0240"</f>
        <v>171,0240</v>
      </c>
      <c r="M95" s="14" t="s">
        <v>158</v>
      </c>
    </row>
    <row r="96" spans="1:13">
      <c r="A96" s="17" t="s">
        <v>75</v>
      </c>
      <c r="B96" s="14" t="s">
        <v>2106</v>
      </c>
      <c r="C96" s="14" t="s">
        <v>2107</v>
      </c>
      <c r="D96" s="14" t="s">
        <v>1003</v>
      </c>
      <c r="E96" s="14" t="str">
        <f>"0,7146"</f>
        <v>0,7146</v>
      </c>
      <c r="F96" s="14" t="s">
        <v>2108</v>
      </c>
      <c r="G96" s="15" t="s">
        <v>420</v>
      </c>
      <c r="H96" s="15" t="s">
        <v>421</v>
      </c>
      <c r="I96" s="16" t="s">
        <v>682</v>
      </c>
      <c r="J96" s="17"/>
      <c r="K96" s="40" t="str">
        <f>"230,0"</f>
        <v>230,0</v>
      </c>
      <c r="L96" s="17" t="str">
        <f>"164,3580"</f>
        <v>164,3580</v>
      </c>
      <c r="M96" s="14" t="s">
        <v>158</v>
      </c>
    </row>
    <row r="97" spans="1:13">
      <c r="A97" s="17" t="s">
        <v>87</v>
      </c>
      <c r="B97" s="14" t="s">
        <v>4304</v>
      </c>
      <c r="C97" s="14" t="s">
        <v>4305</v>
      </c>
      <c r="D97" s="14" t="s">
        <v>2510</v>
      </c>
      <c r="E97" s="14" t="str">
        <f>"0,7186"</f>
        <v>0,7186</v>
      </c>
      <c r="F97" s="14" t="s">
        <v>4306</v>
      </c>
      <c r="G97" s="15" t="s">
        <v>420</v>
      </c>
      <c r="H97" s="16" t="s">
        <v>421</v>
      </c>
      <c r="I97" s="16" t="s">
        <v>421</v>
      </c>
      <c r="J97" s="17"/>
      <c r="K97" s="40" t="str">
        <f>"220,0"</f>
        <v>220,0</v>
      </c>
      <c r="L97" s="17" t="str">
        <f>"158,0920"</f>
        <v>158,0920</v>
      </c>
      <c r="M97" s="14" t="s">
        <v>158</v>
      </c>
    </row>
    <row r="98" spans="1:13">
      <c r="A98" s="17" t="s">
        <v>168</v>
      </c>
      <c r="B98" s="14" t="s">
        <v>4307</v>
      </c>
      <c r="C98" s="14" t="s">
        <v>4308</v>
      </c>
      <c r="D98" s="14" t="s">
        <v>419</v>
      </c>
      <c r="E98" s="14" t="str">
        <f>"0,7166"</f>
        <v>0,7166</v>
      </c>
      <c r="F98" s="14" t="s">
        <v>4309</v>
      </c>
      <c r="G98" s="15" t="s">
        <v>374</v>
      </c>
      <c r="H98" s="15" t="s">
        <v>384</v>
      </c>
      <c r="I98" s="15" t="s">
        <v>436</v>
      </c>
      <c r="J98" s="17"/>
      <c r="K98" s="40" t="str">
        <f>"215,0"</f>
        <v>215,0</v>
      </c>
      <c r="L98" s="17" t="str">
        <f>"154,0690"</f>
        <v>154,0690</v>
      </c>
      <c r="M98" s="14" t="s">
        <v>158</v>
      </c>
    </row>
    <row r="99" spans="1:13">
      <c r="A99" s="17" t="s">
        <v>172</v>
      </c>
      <c r="B99" s="14" t="s">
        <v>4310</v>
      </c>
      <c r="C99" s="14" t="s">
        <v>4311</v>
      </c>
      <c r="D99" s="14" t="s">
        <v>331</v>
      </c>
      <c r="E99" s="14" t="str">
        <f>"0,7126"</f>
        <v>0,7126</v>
      </c>
      <c r="F99" s="14" t="s">
        <v>1897</v>
      </c>
      <c r="G99" s="15" t="s">
        <v>392</v>
      </c>
      <c r="H99" s="16" t="s">
        <v>455</v>
      </c>
      <c r="I99" s="16" t="s">
        <v>455</v>
      </c>
      <c r="J99" s="17"/>
      <c r="K99" s="40" t="str">
        <f>"190,0"</f>
        <v>190,0</v>
      </c>
      <c r="L99" s="17" t="str">
        <f>"135,3940"</f>
        <v>135,3940</v>
      </c>
      <c r="M99" s="14" t="s">
        <v>4264</v>
      </c>
    </row>
    <row r="100" spans="1:13">
      <c r="A100" s="17" t="s">
        <v>178</v>
      </c>
      <c r="B100" s="14" t="s">
        <v>4312</v>
      </c>
      <c r="C100" s="14" t="s">
        <v>4313</v>
      </c>
      <c r="D100" s="14" t="s">
        <v>2505</v>
      </c>
      <c r="E100" s="14" t="str">
        <f>"0,7207"</f>
        <v>0,7207</v>
      </c>
      <c r="F100" s="14" t="s">
        <v>91</v>
      </c>
      <c r="G100" s="16" t="s">
        <v>550</v>
      </c>
      <c r="H100" s="15" t="s">
        <v>458</v>
      </c>
      <c r="I100" s="15" t="s">
        <v>453</v>
      </c>
      <c r="J100" s="17"/>
      <c r="K100" s="40" t="str">
        <f>"187,5"</f>
        <v>187,5</v>
      </c>
      <c r="L100" s="17" t="str">
        <f>"135,1313"</f>
        <v>135,1313</v>
      </c>
      <c r="M100" s="14" t="s">
        <v>130</v>
      </c>
    </row>
    <row r="101" spans="1:13">
      <c r="A101" s="17" t="s">
        <v>183</v>
      </c>
      <c r="B101" s="14" t="s">
        <v>4314</v>
      </c>
      <c r="C101" s="14" t="s">
        <v>4315</v>
      </c>
      <c r="D101" s="14" t="s">
        <v>949</v>
      </c>
      <c r="E101" s="14" t="str">
        <f>"0,7235"</f>
        <v>0,7235</v>
      </c>
      <c r="F101" s="14" t="s">
        <v>4316</v>
      </c>
      <c r="G101" s="15" t="s">
        <v>351</v>
      </c>
      <c r="H101" s="15" t="s">
        <v>458</v>
      </c>
      <c r="I101" s="16" t="s">
        <v>368</v>
      </c>
      <c r="J101" s="17"/>
      <c r="K101" s="40" t="str">
        <f>"182,5"</f>
        <v>182,5</v>
      </c>
      <c r="L101" s="17" t="str">
        <f>"132,0388"</f>
        <v>132,0388</v>
      </c>
      <c r="M101" s="14" t="s">
        <v>4317</v>
      </c>
    </row>
    <row r="102" spans="1:13">
      <c r="A102" s="17" t="s">
        <v>186</v>
      </c>
      <c r="B102" s="14" t="s">
        <v>4318</v>
      </c>
      <c r="C102" s="14" t="s">
        <v>4319</v>
      </c>
      <c r="D102" s="14" t="s">
        <v>2510</v>
      </c>
      <c r="E102" s="14" t="str">
        <f>"0,7186"</f>
        <v>0,7186</v>
      </c>
      <c r="F102" s="14" t="s">
        <v>4320</v>
      </c>
      <c r="G102" s="15" t="s">
        <v>60</v>
      </c>
      <c r="H102" s="16" t="s">
        <v>151</v>
      </c>
      <c r="I102" s="16" t="s">
        <v>151</v>
      </c>
      <c r="J102" s="17"/>
      <c r="K102" s="40" t="str">
        <f>"150,0"</f>
        <v>150,0</v>
      </c>
      <c r="L102" s="17" t="str">
        <f>"107,7900"</f>
        <v>107,7900</v>
      </c>
      <c r="M102" s="14" t="s">
        <v>4321</v>
      </c>
    </row>
    <row r="103" spans="1:13">
      <c r="A103" s="17" t="s">
        <v>15</v>
      </c>
      <c r="B103" s="14" t="s">
        <v>2537</v>
      </c>
      <c r="C103" s="14" t="s">
        <v>2538</v>
      </c>
      <c r="D103" s="14" t="s">
        <v>327</v>
      </c>
      <c r="E103" s="14" t="str">
        <f>"0,7300"</f>
        <v>0,7300</v>
      </c>
      <c r="F103" s="14" t="s">
        <v>2539</v>
      </c>
      <c r="G103" s="15" t="s">
        <v>145</v>
      </c>
      <c r="H103" s="15" t="s">
        <v>209</v>
      </c>
      <c r="I103" s="15" t="s">
        <v>59</v>
      </c>
      <c r="J103" s="17"/>
      <c r="K103" s="40" t="str">
        <f>"145,0"</f>
        <v>145,0</v>
      </c>
      <c r="L103" s="17" t="str">
        <f>"112,2010"</f>
        <v>112,2010</v>
      </c>
      <c r="M103" s="14" t="s">
        <v>2540</v>
      </c>
    </row>
    <row r="104" spans="1:13">
      <c r="A104" s="20" t="s">
        <v>15</v>
      </c>
      <c r="B104" s="18" t="s">
        <v>4322</v>
      </c>
      <c r="C104" s="18" t="s">
        <v>4323</v>
      </c>
      <c r="D104" s="18" t="s">
        <v>331</v>
      </c>
      <c r="E104" s="18" t="str">
        <f>"0,7126"</f>
        <v>0,7126</v>
      </c>
      <c r="F104" s="18" t="s">
        <v>91</v>
      </c>
      <c r="G104" s="19" t="s">
        <v>374</v>
      </c>
      <c r="H104" s="22" t="s">
        <v>436</v>
      </c>
      <c r="I104" s="22" t="s">
        <v>436</v>
      </c>
      <c r="J104" s="20"/>
      <c r="K104" s="38" t="str">
        <f>"200,0"</f>
        <v>200,0</v>
      </c>
      <c r="L104" s="20" t="str">
        <f>"188,4114"</f>
        <v>188,4114</v>
      </c>
      <c r="M104" s="18" t="s">
        <v>158</v>
      </c>
    </row>
    <row r="105" spans="1:13">
      <c r="B105" s="5" t="s">
        <v>40</v>
      </c>
    </row>
    <row r="106" spans="1:13" ht="15.95">
      <c r="A106" s="102" t="s">
        <v>334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</row>
    <row r="107" spans="1:13">
      <c r="A107" s="13" t="s">
        <v>15</v>
      </c>
      <c r="B107" s="11" t="s">
        <v>2560</v>
      </c>
      <c r="C107" s="11" t="s">
        <v>2561</v>
      </c>
      <c r="D107" s="11" t="s">
        <v>583</v>
      </c>
      <c r="E107" s="11" t="str">
        <f>"0,7061"</f>
        <v>0,7061</v>
      </c>
      <c r="F107" s="11" t="s">
        <v>2328</v>
      </c>
      <c r="G107" s="12" t="s">
        <v>392</v>
      </c>
      <c r="H107" s="12" t="s">
        <v>399</v>
      </c>
      <c r="I107" s="13"/>
      <c r="J107" s="13"/>
      <c r="K107" s="37" t="str">
        <f>"205,0"</f>
        <v>205,0</v>
      </c>
      <c r="L107" s="13" t="str">
        <f>"144,7505"</f>
        <v>144,7505</v>
      </c>
      <c r="M107" s="11" t="s">
        <v>2386</v>
      </c>
    </row>
    <row r="108" spans="1:13">
      <c r="A108" s="17" t="s">
        <v>62</v>
      </c>
      <c r="B108" s="14" t="s">
        <v>483</v>
      </c>
      <c r="C108" s="14" t="s">
        <v>484</v>
      </c>
      <c r="D108" s="14" t="s">
        <v>485</v>
      </c>
      <c r="E108" s="14" t="str">
        <f>"0,6795"</f>
        <v>0,6795</v>
      </c>
      <c r="F108" s="14" t="s">
        <v>109</v>
      </c>
      <c r="G108" s="15" t="s">
        <v>392</v>
      </c>
      <c r="H108" s="15" t="s">
        <v>399</v>
      </c>
      <c r="I108" s="16" t="s">
        <v>420</v>
      </c>
      <c r="J108" s="17"/>
      <c r="K108" s="40" t="str">
        <f>"205,0"</f>
        <v>205,0</v>
      </c>
      <c r="L108" s="17" t="str">
        <f>"139,2975"</f>
        <v>139,2975</v>
      </c>
      <c r="M108" s="14" t="s">
        <v>111</v>
      </c>
    </row>
    <row r="109" spans="1:13">
      <c r="A109" s="17" t="s">
        <v>15</v>
      </c>
      <c r="B109" s="14" t="s">
        <v>4324</v>
      </c>
      <c r="C109" s="14" t="s">
        <v>4325</v>
      </c>
      <c r="D109" s="14" t="s">
        <v>587</v>
      </c>
      <c r="E109" s="14" t="str">
        <f>"0,6774"</f>
        <v>0,6774</v>
      </c>
      <c r="F109" s="14" t="s">
        <v>2506</v>
      </c>
      <c r="G109" s="15" t="s">
        <v>422</v>
      </c>
      <c r="H109" s="15" t="s">
        <v>490</v>
      </c>
      <c r="I109" s="16" t="s">
        <v>523</v>
      </c>
      <c r="J109" s="17"/>
      <c r="K109" s="40" t="str">
        <f>"250,0"</f>
        <v>250,0</v>
      </c>
      <c r="L109" s="17" t="str">
        <f>"169,3500"</f>
        <v>169,3500</v>
      </c>
      <c r="M109" s="14" t="s">
        <v>2507</v>
      </c>
    </row>
    <row r="110" spans="1:13">
      <c r="A110" s="17" t="s">
        <v>62</v>
      </c>
      <c r="B110" s="14" t="s">
        <v>4326</v>
      </c>
      <c r="C110" s="14" t="s">
        <v>4327</v>
      </c>
      <c r="D110" s="14" t="s">
        <v>4328</v>
      </c>
      <c r="E110" s="14" t="str">
        <f>"0,6963"</f>
        <v>0,6963</v>
      </c>
      <c r="F110" s="14" t="s">
        <v>4329</v>
      </c>
      <c r="G110" s="15" t="s">
        <v>420</v>
      </c>
      <c r="H110" s="15" t="s">
        <v>459</v>
      </c>
      <c r="I110" s="16" t="s">
        <v>490</v>
      </c>
      <c r="J110" s="17"/>
      <c r="K110" s="40" t="str">
        <f>"235,0"</f>
        <v>235,0</v>
      </c>
      <c r="L110" s="17" t="str">
        <f>"163,6305"</f>
        <v>163,6305</v>
      </c>
      <c r="M110" s="14" t="s">
        <v>158</v>
      </c>
    </row>
    <row r="111" spans="1:13">
      <c r="A111" s="17" t="s">
        <v>73</v>
      </c>
      <c r="B111" s="14" t="s">
        <v>4330</v>
      </c>
      <c r="C111" s="14" t="s">
        <v>4331</v>
      </c>
      <c r="D111" s="14" t="s">
        <v>1666</v>
      </c>
      <c r="E111" s="14" t="str">
        <f>"0,6899"</f>
        <v>0,6899</v>
      </c>
      <c r="F111" s="14" t="s">
        <v>1214</v>
      </c>
      <c r="G111" s="15" t="s">
        <v>384</v>
      </c>
      <c r="H111" s="16" t="s">
        <v>420</v>
      </c>
      <c r="I111" s="15" t="s">
        <v>420</v>
      </c>
      <c r="J111" s="17"/>
      <c r="K111" s="40" t="str">
        <f>"220,0"</f>
        <v>220,0</v>
      </c>
      <c r="L111" s="17" t="str">
        <f>"151,7780"</f>
        <v>151,7780</v>
      </c>
      <c r="M111" s="14" t="s">
        <v>158</v>
      </c>
    </row>
    <row r="112" spans="1:13">
      <c r="A112" s="17" t="s">
        <v>75</v>
      </c>
      <c r="B112" s="14" t="s">
        <v>510</v>
      </c>
      <c r="C112" s="14" t="s">
        <v>511</v>
      </c>
      <c r="D112" s="14" t="s">
        <v>512</v>
      </c>
      <c r="E112" s="14" t="str">
        <f>"0,6790"</f>
        <v>0,6790</v>
      </c>
      <c r="F112" s="14" t="s">
        <v>513</v>
      </c>
      <c r="G112" s="15" t="s">
        <v>384</v>
      </c>
      <c r="H112" s="16" t="s">
        <v>420</v>
      </c>
      <c r="I112" s="17"/>
      <c r="J112" s="17"/>
      <c r="K112" s="40" t="str">
        <f>"210,0"</f>
        <v>210,0</v>
      </c>
      <c r="L112" s="17" t="str">
        <f>"142,5900"</f>
        <v>142,5900</v>
      </c>
      <c r="M112" s="14" t="s">
        <v>158</v>
      </c>
    </row>
    <row r="113" spans="1:13">
      <c r="A113" s="17" t="s">
        <v>15</v>
      </c>
      <c r="B113" s="14" t="s">
        <v>4332</v>
      </c>
      <c r="C113" s="14" t="s">
        <v>4333</v>
      </c>
      <c r="D113" s="14" t="s">
        <v>536</v>
      </c>
      <c r="E113" s="14" t="str">
        <f>"0,6719"</f>
        <v>0,6719</v>
      </c>
      <c r="F113" s="14" t="s">
        <v>1870</v>
      </c>
      <c r="G113" s="15" t="s">
        <v>645</v>
      </c>
      <c r="H113" s="15" t="s">
        <v>523</v>
      </c>
      <c r="I113" s="15" t="s">
        <v>640</v>
      </c>
      <c r="J113" s="17"/>
      <c r="K113" s="40" t="str">
        <f>"270,0"</f>
        <v>270,0</v>
      </c>
      <c r="L113" s="17" t="str">
        <f>"181,4130"</f>
        <v>181,4130</v>
      </c>
      <c r="M113" s="14" t="s">
        <v>158</v>
      </c>
    </row>
    <row r="114" spans="1:13" ht="12.75">
      <c r="A114" s="71" t="s">
        <v>2888</v>
      </c>
      <c r="B114" s="14" t="s">
        <v>531</v>
      </c>
      <c r="C114" s="14" t="s">
        <v>532</v>
      </c>
      <c r="D114" s="14" t="s">
        <v>521</v>
      </c>
      <c r="E114" s="14" t="str">
        <f>"0,6754"</f>
        <v>0,6754</v>
      </c>
      <c r="F114" s="14" t="s">
        <v>533</v>
      </c>
      <c r="G114" s="15" t="s">
        <v>421</v>
      </c>
      <c r="H114" s="15" t="s">
        <v>490</v>
      </c>
      <c r="I114" s="16" t="s">
        <v>529</v>
      </c>
      <c r="J114" s="17"/>
      <c r="K114" s="40" t="str">
        <f>"250,0"</f>
        <v>250,0</v>
      </c>
      <c r="L114" s="17" t="str">
        <f>"168,8500"</f>
        <v>168,8500</v>
      </c>
      <c r="M114" s="14" t="s">
        <v>158</v>
      </c>
    </row>
    <row r="115" spans="1:13">
      <c r="A115" s="17" t="s">
        <v>62</v>
      </c>
      <c r="B115" s="14" t="s">
        <v>519</v>
      </c>
      <c r="C115" s="14" t="s">
        <v>520</v>
      </c>
      <c r="D115" s="14" t="s">
        <v>521</v>
      </c>
      <c r="E115" s="14" t="str">
        <f>"0,6754"</f>
        <v>0,6754</v>
      </c>
      <c r="F115" s="14" t="s">
        <v>522</v>
      </c>
      <c r="G115" s="15" t="s">
        <v>422</v>
      </c>
      <c r="H115" s="15" t="s">
        <v>490</v>
      </c>
      <c r="I115" s="16" t="s">
        <v>523</v>
      </c>
      <c r="J115" s="17"/>
      <c r="K115" s="40" t="str">
        <f>"250,0"</f>
        <v>250,0</v>
      </c>
      <c r="L115" s="17" t="str">
        <f>"168,8500"</f>
        <v>168,8500</v>
      </c>
      <c r="M115" s="14" t="s">
        <v>524</v>
      </c>
    </row>
    <row r="116" spans="1:13">
      <c r="A116" s="17" t="s">
        <v>73</v>
      </c>
      <c r="B116" s="14" t="s">
        <v>1441</v>
      </c>
      <c r="C116" s="14" t="s">
        <v>1442</v>
      </c>
      <c r="D116" s="14" t="s">
        <v>1443</v>
      </c>
      <c r="E116" s="14" t="str">
        <f>"0,6957"</f>
        <v>0,6957</v>
      </c>
      <c r="F116" s="14" t="s">
        <v>4334</v>
      </c>
      <c r="G116" s="15" t="s">
        <v>421</v>
      </c>
      <c r="H116" s="15" t="s">
        <v>422</v>
      </c>
      <c r="I116" s="15" t="s">
        <v>627</v>
      </c>
      <c r="J116" s="17"/>
      <c r="K116" s="40" t="str">
        <f>"245,0"</f>
        <v>245,0</v>
      </c>
      <c r="L116" s="17" t="str">
        <f>"170,4465"</f>
        <v>170,4465</v>
      </c>
      <c r="M116" s="14" t="s">
        <v>158</v>
      </c>
    </row>
    <row r="117" spans="1:13">
      <c r="A117" s="17" t="s">
        <v>75</v>
      </c>
      <c r="B117" s="14" t="s">
        <v>1449</v>
      </c>
      <c r="C117" s="14" t="s">
        <v>1450</v>
      </c>
      <c r="D117" s="14" t="s">
        <v>567</v>
      </c>
      <c r="E117" s="14" t="str">
        <f>"0,6699"</f>
        <v>0,6699</v>
      </c>
      <c r="F117" s="14" t="s">
        <v>1451</v>
      </c>
      <c r="G117" s="15" t="s">
        <v>421</v>
      </c>
      <c r="H117" s="15" t="s">
        <v>682</v>
      </c>
      <c r="I117" s="15" t="s">
        <v>627</v>
      </c>
      <c r="J117" s="17"/>
      <c r="K117" s="40" t="str">
        <f>"245,0"</f>
        <v>245,0</v>
      </c>
      <c r="L117" s="17" t="str">
        <f>"164,1255"</f>
        <v>164,1255</v>
      </c>
      <c r="M117" s="14" t="s">
        <v>1452</v>
      </c>
    </row>
    <row r="118" spans="1:13">
      <c r="A118" s="17" t="s">
        <v>87</v>
      </c>
      <c r="B118" s="14" t="s">
        <v>2111</v>
      </c>
      <c r="C118" s="14" t="s">
        <v>1961</v>
      </c>
      <c r="D118" s="14" t="s">
        <v>536</v>
      </c>
      <c r="E118" s="14" t="str">
        <f>"0,6719"</f>
        <v>0,6719</v>
      </c>
      <c r="F118" s="14" t="s">
        <v>1378</v>
      </c>
      <c r="G118" s="15" t="s">
        <v>422</v>
      </c>
      <c r="H118" s="16" t="s">
        <v>490</v>
      </c>
      <c r="I118" s="16" t="s">
        <v>490</v>
      </c>
      <c r="J118" s="17"/>
      <c r="K118" s="40" t="str">
        <f>"240,0"</f>
        <v>240,0</v>
      </c>
      <c r="L118" s="17" t="str">
        <f>"161,2560"</f>
        <v>161,2560</v>
      </c>
      <c r="M118" s="14" t="s">
        <v>158</v>
      </c>
    </row>
    <row r="119" spans="1:13">
      <c r="A119" s="17" t="s">
        <v>168</v>
      </c>
      <c r="B119" s="14" t="s">
        <v>1459</v>
      </c>
      <c r="C119" s="14" t="s">
        <v>1460</v>
      </c>
      <c r="D119" s="14" t="s">
        <v>575</v>
      </c>
      <c r="E119" s="14" t="str">
        <f>"0,6704"</f>
        <v>0,6704</v>
      </c>
      <c r="F119" s="14" t="s">
        <v>1461</v>
      </c>
      <c r="G119" s="16" t="s">
        <v>421</v>
      </c>
      <c r="H119" s="16" t="s">
        <v>421</v>
      </c>
      <c r="I119" s="15" t="s">
        <v>421</v>
      </c>
      <c r="J119" s="17"/>
      <c r="K119" s="40" t="str">
        <f>"230,0"</f>
        <v>230,0</v>
      </c>
      <c r="L119" s="17" t="str">
        <f>"154,1920"</f>
        <v>154,1920</v>
      </c>
      <c r="M119" s="14" t="s">
        <v>1462</v>
      </c>
    </row>
    <row r="120" spans="1:13">
      <c r="A120" s="17" t="s">
        <v>172</v>
      </c>
      <c r="B120" s="14" t="s">
        <v>534</v>
      </c>
      <c r="C120" s="14" t="s">
        <v>2590</v>
      </c>
      <c r="D120" s="14" t="s">
        <v>536</v>
      </c>
      <c r="E120" s="14" t="str">
        <f>"0,6719"</f>
        <v>0,6719</v>
      </c>
      <c r="F120" s="14" t="s">
        <v>91</v>
      </c>
      <c r="G120" s="15" t="s">
        <v>384</v>
      </c>
      <c r="H120" s="15" t="s">
        <v>507</v>
      </c>
      <c r="I120" s="16" t="s">
        <v>459</v>
      </c>
      <c r="J120" s="17"/>
      <c r="K120" s="40" t="str">
        <f>"227,5"</f>
        <v>227,5</v>
      </c>
      <c r="L120" s="17" t="str">
        <f>"152,8572"</f>
        <v>152,8572</v>
      </c>
      <c r="M120" s="14" t="s">
        <v>158</v>
      </c>
    </row>
    <row r="121" spans="1:13">
      <c r="A121" s="17" t="s">
        <v>178</v>
      </c>
      <c r="B121" s="14" t="s">
        <v>1467</v>
      </c>
      <c r="C121" s="14" t="s">
        <v>1468</v>
      </c>
      <c r="D121" s="14" t="s">
        <v>590</v>
      </c>
      <c r="E121" s="14" t="str">
        <f>"0,6724"</f>
        <v>0,6724</v>
      </c>
      <c r="F121" s="14" t="s">
        <v>1155</v>
      </c>
      <c r="G121" s="15" t="s">
        <v>420</v>
      </c>
      <c r="H121" s="16" t="s">
        <v>442</v>
      </c>
      <c r="I121" s="16" t="s">
        <v>442</v>
      </c>
      <c r="J121" s="17"/>
      <c r="K121" s="40" t="str">
        <f>"220,0"</f>
        <v>220,0</v>
      </c>
      <c r="L121" s="17" t="str">
        <f>"147,9280"</f>
        <v>147,9280</v>
      </c>
      <c r="M121" s="14" t="s">
        <v>158</v>
      </c>
    </row>
    <row r="122" spans="1:13">
      <c r="A122" s="17" t="s">
        <v>183</v>
      </c>
      <c r="B122" s="14" t="s">
        <v>4335</v>
      </c>
      <c r="C122" s="14" t="s">
        <v>4336</v>
      </c>
      <c r="D122" s="14" t="s">
        <v>4337</v>
      </c>
      <c r="E122" s="14" t="str">
        <f>"0,6993"</f>
        <v>0,6993</v>
      </c>
      <c r="F122" s="14" t="s">
        <v>1451</v>
      </c>
      <c r="G122" s="15" t="s">
        <v>368</v>
      </c>
      <c r="H122" s="15" t="s">
        <v>383</v>
      </c>
      <c r="I122" s="15" t="s">
        <v>399</v>
      </c>
      <c r="J122" s="17"/>
      <c r="K122" s="40" t="str">
        <f>"205,0"</f>
        <v>205,0</v>
      </c>
      <c r="L122" s="17" t="str">
        <f>"143,3565"</f>
        <v>143,3565</v>
      </c>
      <c r="M122" s="14" t="s">
        <v>158</v>
      </c>
    </row>
    <row r="123" spans="1:13">
      <c r="A123" s="17" t="s">
        <v>186</v>
      </c>
      <c r="B123" s="14" t="s">
        <v>588</v>
      </c>
      <c r="C123" s="14" t="s">
        <v>589</v>
      </c>
      <c r="D123" s="14" t="s">
        <v>590</v>
      </c>
      <c r="E123" s="14" t="str">
        <f>"0,6724"</f>
        <v>0,6724</v>
      </c>
      <c r="F123" s="14" t="s">
        <v>591</v>
      </c>
      <c r="G123" s="15" t="s">
        <v>392</v>
      </c>
      <c r="H123" s="16" t="s">
        <v>436</v>
      </c>
      <c r="I123" s="17"/>
      <c r="J123" s="17"/>
      <c r="K123" s="40" t="str">
        <f>"190,0"</f>
        <v>190,0</v>
      </c>
      <c r="L123" s="17" t="str">
        <f>"127,7560"</f>
        <v>127,7560</v>
      </c>
      <c r="M123" s="14" t="s">
        <v>158</v>
      </c>
    </row>
    <row r="124" spans="1:13">
      <c r="A124" s="17" t="s">
        <v>556</v>
      </c>
      <c r="B124" s="14" t="s">
        <v>4338</v>
      </c>
      <c r="C124" s="14" t="s">
        <v>4339</v>
      </c>
      <c r="D124" s="14" t="s">
        <v>583</v>
      </c>
      <c r="E124" s="14" t="str">
        <f>"0,7061"</f>
        <v>0,7061</v>
      </c>
      <c r="F124" s="14" t="s">
        <v>91</v>
      </c>
      <c r="G124" s="15" t="s">
        <v>59</v>
      </c>
      <c r="H124" s="15" t="s">
        <v>205</v>
      </c>
      <c r="I124" s="15" t="s">
        <v>152</v>
      </c>
      <c r="J124" s="17"/>
      <c r="K124" s="40" t="str">
        <f>"165,0"</f>
        <v>165,0</v>
      </c>
      <c r="L124" s="17" t="str">
        <f>"116,5065"</f>
        <v>116,5065</v>
      </c>
      <c r="M124" s="14" t="s">
        <v>4340</v>
      </c>
    </row>
    <row r="125" spans="1:13">
      <c r="A125" s="17" t="s">
        <v>92</v>
      </c>
      <c r="B125" s="14" t="s">
        <v>4341</v>
      </c>
      <c r="C125" s="14" t="s">
        <v>4342</v>
      </c>
      <c r="D125" s="14" t="s">
        <v>554</v>
      </c>
      <c r="E125" s="14" t="str">
        <f>"0,6739"</f>
        <v>0,6739</v>
      </c>
      <c r="F125" s="14" t="s">
        <v>91</v>
      </c>
      <c r="G125" s="16" t="s">
        <v>205</v>
      </c>
      <c r="H125" s="17"/>
      <c r="I125" s="17"/>
      <c r="J125" s="17"/>
      <c r="K125" s="40">
        <v>0</v>
      </c>
      <c r="L125" s="17" t="str">
        <f>"0,0000"</f>
        <v>0,0000</v>
      </c>
      <c r="M125" s="14" t="s">
        <v>4321</v>
      </c>
    </row>
    <row r="126" spans="1:13">
      <c r="A126" s="17" t="s">
        <v>15</v>
      </c>
      <c r="B126" s="14" t="s">
        <v>1449</v>
      </c>
      <c r="C126" s="14" t="s">
        <v>1470</v>
      </c>
      <c r="D126" s="14" t="s">
        <v>567</v>
      </c>
      <c r="E126" s="14" t="str">
        <f>"0,6699"</f>
        <v>0,6699</v>
      </c>
      <c r="F126" s="14" t="s">
        <v>1451</v>
      </c>
      <c r="G126" s="15" t="s">
        <v>421</v>
      </c>
      <c r="H126" s="15" t="s">
        <v>682</v>
      </c>
      <c r="I126" s="15" t="s">
        <v>627</v>
      </c>
      <c r="J126" s="17"/>
      <c r="K126" s="40" t="str">
        <f>"245,0"</f>
        <v>245,0</v>
      </c>
      <c r="L126" s="17" t="str">
        <f>"179,8815"</f>
        <v>179,8815</v>
      </c>
      <c r="M126" s="14" t="s">
        <v>1452</v>
      </c>
    </row>
    <row r="127" spans="1:13">
      <c r="A127" s="17" t="s">
        <v>62</v>
      </c>
      <c r="B127" s="14" t="s">
        <v>592</v>
      </c>
      <c r="C127" s="14" t="s">
        <v>593</v>
      </c>
      <c r="D127" s="14" t="s">
        <v>539</v>
      </c>
      <c r="E127" s="14" t="str">
        <f>"0,6729"</f>
        <v>0,6729</v>
      </c>
      <c r="F127" s="14" t="s">
        <v>594</v>
      </c>
      <c r="G127" s="15" t="s">
        <v>374</v>
      </c>
      <c r="H127" s="15" t="s">
        <v>384</v>
      </c>
      <c r="I127" s="15" t="s">
        <v>420</v>
      </c>
      <c r="J127" s="17"/>
      <c r="K127" s="40" t="str">
        <f>"220,0"</f>
        <v>220,0</v>
      </c>
      <c r="L127" s="17" t="str">
        <f>"162,2497"</f>
        <v>162,2497</v>
      </c>
      <c r="M127" s="14" t="s">
        <v>158</v>
      </c>
    </row>
    <row r="128" spans="1:13">
      <c r="A128" s="20" t="s">
        <v>15</v>
      </c>
      <c r="B128" s="18" t="s">
        <v>2116</v>
      </c>
      <c r="C128" s="18" t="s">
        <v>2117</v>
      </c>
      <c r="D128" s="18" t="s">
        <v>2118</v>
      </c>
      <c r="E128" s="18" t="str">
        <f>"0,6849"</f>
        <v>0,6849</v>
      </c>
      <c r="F128" s="18" t="s">
        <v>1378</v>
      </c>
      <c r="G128" s="19" t="s">
        <v>151</v>
      </c>
      <c r="H128" s="19" t="s">
        <v>248</v>
      </c>
      <c r="I128" s="22" t="s">
        <v>351</v>
      </c>
      <c r="J128" s="20"/>
      <c r="K128" s="38" t="str">
        <f>"170,0"</f>
        <v>170,0</v>
      </c>
      <c r="L128" s="20" t="str">
        <f>"138,2060"</f>
        <v>138,2060</v>
      </c>
      <c r="M128" s="18" t="s">
        <v>158</v>
      </c>
    </row>
    <row r="129" spans="1:13">
      <c r="B129" s="5" t="s">
        <v>40</v>
      </c>
    </row>
    <row r="130" spans="1:13" ht="15.95">
      <c r="A130" s="102" t="s">
        <v>598</v>
      </c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</row>
    <row r="131" spans="1:13">
      <c r="A131" s="13" t="s">
        <v>15</v>
      </c>
      <c r="B131" s="11" t="s">
        <v>604</v>
      </c>
      <c r="C131" s="11" t="s">
        <v>605</v>
      </c>
      <c r="D131" s="11" t="s">
        <v>606</v>
      </c>
      <c r="E131" s="11" t="str">
        <f>"0,6515"</f>
        <v>0,6515</v>
      </c>
      <c r="F131" s="11" t="s">
        <v>4343</v>
      </c>
      <c r="G131" s="12" t="s">
        <v>374</v>
      </c>
      <c r="H131" s="12" t="s">
        <v>421</v>
      </c>
      <c r="I131" s="21" t="s">
        <v>422</v>
      </c>
      <c r="J131" s="13"/>
      <c r="K131" s="37" t="str">
        <f>"230,0"</f>
        <v>230,0</v>
      </c>
      <c r="L131" s="13" t="str">
        <f>"149,8450"</f>
        <v>149,8450</v>
      </c>
      <c r="M131" s="11" t="s">
        <v>608</v>
      </c>
    </row>
    <row r="132" spans="1:13">
      <c r="A132" s="17" t="s">
        <v>62</v>
      </c>
      <c r="B132" s="14" t="s">
        <v>2645</v>
      </c>
      <c r="C132" s="14" t="s">
        <v>2646</v>
      </c>
      <c r="D132" s="14" t="s">
        <v>632</v>
      </c>
      <c r="E132" s="14" t="str">
        <f>"0,6428"</f>
        <v>0,6428</v>
      </c>
      <c r="F132" s="14" t="s">
        <v>2096</v>
      </c>
      <c r="G132" s="15" t="s">
        <v>441</v>
      </c>
      <c r="H132" s="15" t="s">
        <v>421</v>
      </c>
      <c r="I132" s="16" t="s">
        <v>4344</v>
      </c>
      <c r="J132" s="17"/>
      <c r="K132" s="40" t="str">
        <f>"230,0"</f>
        <v>230,0</v>
      </c>
      <c r="L132" s="17" t="str">
        <f>"147,8440"</f>
        <v>147,8440</v>
      </c>
      <c r="M132" s="14" t="s">
        <v>2647</v>
      </c>
    </row>
    <row r="133" spans="1:13">
      <c r="A133" s="17" t="s">
        <v>15</v>
      </c>
      <c r="B133" s="14" t="s">
        <v>4345</v>
      </c>
      <c r="C133" s="14" t="s">
        <v>4346</v>
      </c>
      <c r="D133" s="14" t="s">
        <v>606</v>
      </c>
      <c r="E133" s="14" t="str">
        <f>"0,6515"</f>
        <v>0,6515</v>
      </c>
      <c r="F133" s="14" t="s">
        <v>1590</v>
      </c>
      <c r="G133" s="15" t="s">
        <v>421</v>
      </c>
      <c r="H133" s="15" t="s">
        <v>490</v>
      </c>
      <c r="I133" s="16" t="s">
        <v>1042</v>
      </c>
      <c r="J133" s="17"/>
      <c r="K133" s="40" t="str">
        <f>"250,0"</f>
        <v>250,0</v>
      </c>
      <c r="L133" s="17" t="str">
        <f>"162,8750"</f>
        <v>162,8750</v>
      </c>
      <c r="M133" s="14" t="s">
        <v>158</v>
      </c>
    </row>
    <row r="134" spans="1:13">
      <c r="A134" s="17" t="s">
        <v>62</v>
      </c>
      <c r="B134" s="14" t="s">
        <v>1475</v>
      </c>
      <c r="C134" s="14" t="s">
        <v>1476</v>
      </c>
      <c r="D134" s="14" t="s">
        <v>653</v>
      </c>
      <c r="E134" s="14" t="str">
        <f>"0,6475"</f>
        <v>0,6475</v>
      </c>
      <c r="F134" s="14" t="s">
        <v>4347</v>
      </c>
      <c r="G134" s="15" t="s">
        <v>508</v>
      </c>
      <c r="H134" s="16" t="s">
        <v>422</v>
      </c>
      <c r="I134" s="16" t="s">
        <v>437</v>
      </c>
      <c r="J134" s="17"/>
      <c r="K134" s="40" t="str">
        <f>"232,5"</f>
        <v>232,5</v>
      </c>
      <c r="L134" s="17" t="str">
        <f>"150,5437"</f>
        <v>150,5437</v>
      </c>
      <c r="M134" s="14" t="s">
        <v>158</v>
      </c>
    </row>
    <row r="135" spans="1:13">
      <c r="A135" s="17" t="s">
        <v>73</v>
      </c>
      <c r="B135" s="14" t="s">
        <v>4348</v>
      </c>
      <c r="C135" s="14" t="s">
        <v>4349</v>
      </c>
      <c r="D135" s="14" t="s">
        <v>1480</v>
      </c>
      <c r="E135" s="14" t="str">
        <f>"0,6413"</f>
        <v>0,6413</v>
      </c>
      <c r="F135" s="14" t="s">
        <v>91</v>
      </c>
      <c r="G135" s="15" t="s">
        <v>384</v>
      </c>
      <c r="H135" s="16" t="s">
        <v>421</v>
      </c>
      <c r="I135" s="15" t="s">
        <v>421</v>
      </c>
      <c r="J135" s="17"/>
      <c r="K135" s="40" t="str">
        <f>"230,0"</f>
        <v>230,0</v>
      </c>
      <c r="L135" s="17" t="str">
        <f>"147,4990"</f>
        <v>147,4990</v>
      </c>
      <c r="M135" s="14" t="s">
        <v>4350</v>
      </c>
    </row>
    <row r="136" spans="1:13">
      <c r="A136" s="17" t="s">
        <v>15</v>
      </c>
      <c r="B136" s="14" t="s">
        <v>4351</v>
      </c>
      <c r="C136" s="14" t="s">
        <v>4352</v>
      </c>
      <c r="D136" s="14" t="s">
        <v>1502</v>
      </c>
      <c r="E136" s="14" t="str">
        <f>"0,6519"</f>
        <v>0,6519</v>
      </c>
      <c r="F136" s="14" t="s">
        <v>644</v>
      </c>
      <c r="G136" s="15" t="s">
        <v>640</v>
      </c>
      <c r="H136" s="16" t="s">
        <v>754</v>
      </c>
      <c r="I136" s="16" t="s">
        <v>754</v>
      </c>
      <c r="J136" s="17"/>
      <c r="K136" s="40" t="str">
        <f>"270,0"</f>
        <v>270,0</v>
      </c>
      <c r="L136" s="17" t="str">
        <f>"176,0130"</f>
        <v>176,0130</v>
      </c>
      <c r="M136" s="14" t="s">
        <v>158</v>
      </c>
    </row>
    <row r="137" spans="1:13">
      <c r="A137" s="17" t="s">
        <v>62</v>
      </c>
      <c r="B137" s="14" t="s">
        <v>4353</v>
      </c>
      <c r="C137" s="14" t="s">
        <v>4354</v>
      </c>
      <c r="D137" s="14" t="s">
        <v>1066</v>
      </c>
      <c r="E137" s="14" t="str">
        <f>"0,6471"</f>
        <v>0,6471</v>
      </c>
      <c r="F137" s="14" t="s">
        <v>1897</v>
      </c>
      <c r="G137" s="16" t="s">
        <v>59</v>
      </c>
      <c r="H137" s="15" t="s">
        <v>205</v>
      </c>
      <c r="I137" s="15" t="s">
        <v>152</v>
      </c>
      <c r="J137" s="17"/>
      <c r="K137" s="40" t="str">
        <f>"165,0"</f>
        <v>165,0</v>
      </c>
      <c r="L137" s="17" t="str">
        <f>"106,7715"</f>
        <v>106,7715</v>
      </c>
      <c r="M137" s="14" t="s">
        <v>4264</v>
      </c>
    </row>
    <row r="138" spans="1:13">
      <c r="A138" s="17" t="s">
        <v>73</v>
      </c>
      <c r="B138" s="14" t="s">
        <v>4355</v>
      </c>
      <c r="C138" s="14" t="s">
        <v>4356</v>
      </c>
      <c r="D138" s="14" t="s">
        <v>1066</v>
      </c>
      <c r="E138" s="14" t="str">
        <f>"0,6471"</f>
        <v>0,6471</v>
      </c>
      <c r="F138" s="14" t="s">
        <v>91</v>
      </c>
      <c r="G138" s="16" t="s">
        <v>152</v>
      </c>
      <c r="H138" s="15" t="s">
        <v>152</v>
      </c>
      <c r="I138" s="16" t="s">
        <v>452</v>
      </c>
      <c r="J138" s="17"/>
      <c r="K138" s="40" t="str">
        <f>"165,0"</f>
        <v>165,0</v>
      </c>
      <c r="L138" s="17" t="str">
        <f>"106,7715"</f>
        <v>106,7715</v>
      </c>
      <c r="M138" s="14" t="s">
        <v>158</v>
      </c>
    </row>
    <row r="139" spans="1:13">
      <c r="A139" s="17" t="s">
        <v>92</v>
      </c>
      <c r="B139" s="14" t="s">
        <v>4357</v>
      </c>
      <c r="C139" s="14" t="s">
        <v>4358</v>
      </c>
      <c r="D139" s="14" t="s">
        <v>4359</v>
      </c>
      <c r="E139" s="14" t="str">
        <f>"0,6661"</f>
        <v>0,6661</v>
      </c>
      <c r="F139" s="14" t="s">
        <v>4360</v>
      </c>
      <c r="G139" s="16" t="s">
        <v>421</v>
      </c>
      <c r="H139" s="16" t="s">
        <v>421</v>
      </c>
      <c r="I139" s="16" t="s">
        <v>421</v>
      </c>
      <c r="J139" s="17"/>
      <c r="K139" s="40">
        <v>0</v>
      </c>
      <c r="L139" s="17" t="str">
        <f>"0,0000"</f>
        <v>0,0000</v>
      </c>
      <c r="M139" s="14" t="s">
        <v>158</v>
      </c>
    </row>
    <row r="140" spans="1:13">
      <c r="A140" s="17" t="s">
        <v>92</v>
      </c>
      <c r="B140" s="14" t="s">
        <v>4361</v>
      </c>
      <c r="C140" s="14" t="s">
        <v>4362</v>
      </c>
      <c r="D140" s="14" t="s">
        <v>4363</v>
      </c>
      <c r="E140" s="14" t="str">
        <f>"0,6528"</f>
        <v>0,6528</v>
      </c>
      <c r="F140" s="14" t="s">
        <v>644</v>
      </c>
      <c r="G140" s="16" t="s">
        <v>459</v>
      </c>
      <c r="H140" s="16" t="s">
        <v>627</v>
      </c>
      <c r="I140" s="16" t="s">
        <v>627</v>
      </c>
      <c r="J140" s="17"/>
      <c r="K140" s="40">
        <v>0</v>
      </c>
      <c r="L140" s="17" t="str">
        <f>"0,0000"</f>
        <v>0,0000</v>
      </c>
      <c r="M140" s="14" t="s">
        <v>158</v>
      </c>
    </row>
    <row r="141" spans="1:13">
      <c r="A141" s="17" t="s">
        <v>15</v>
      </c>
      <c r="B141" s="14" t="s">
        <v>4364</v>
      </c>
      <c r="C141" s="14" t="s">
        <v>4365</v>
      </c>
      <c r="D141" s="14" t="s">
        <v>952</v>
      </c>
      <c r="E141" s="14" t="str">
        <f>"0,6479"</f>
        <v>0,6479</v>
      </c>
      <c r="F141" s="14" t="s">
        <v>1803</v>
      </c>
      <c r="G141" s="15" t="s">
        <v>59</v>
      </c>
      <c r="H141" s="15" t="s">
        <v>204</v>
      </c>
      <c r="I141" s="15" t="s">
        <v>254</v>
      </c>
      <c r="J141" s="17"/>
      <c r="K141" s="40" t="str">
        <f>"157,5"</f>
        <v>157,5</v>
      </c>
      <c r="L141" s="17" t="str">
        <f>"108,1669"</f>
        <v>108,1669</v>
      </c>
      <c r="M141" s="14" t="s">
        <v>158</v>
      </c>
    </row>
    <row r="142" spans="1:13">
      <c r="A142" s="17" t="s">
        <v>15</v>
      </c>
      <c r="B142" s="14" t="s">
        <v>4366</v>
      </c>
      <c r="C142" s="14" t="s">
        <v>4367</v>
      </c>
      <c r="D142" s="14" t="s">
        <v>601</v>
      </c>
      <c r="E142" s="14" t="str">
        <f>"0,6562"</f>
        <v>0,6562</v>
      </c>
      <c r="F142" s="14" t="s">
        <v>2328</v>
      </c>
      <c r="G142" s="15" t="s">
        <v>384</v>
      </c>
      <c r="H142" s="15" t="s">
        <v>420</v>
      </c>
      <c r="I142" s="15" t="s">
        <v>459</v>
      </c>
      <c r="J142" s="17"/>
      <c r="K142" s="40" t="str">
        <f>"235,0"</f>
        <v>235,0</v>
      </c>
      <c r="L142" s="17" t="str">
        <f>"208,1794"</f>
        <v>208,1794</v>
      </c>
      <c r="M142" s="14" t="s">
        <v>158</v>
      </c>
    </row>
    <row r="143" spans="1:13">
      <c r="A143" s="17" t="s">
        <v>62</v>
      </c>
      <c r="B143" s="14" t="s">
        <v>4368</v>
      </c>
      <c r="C143" s="14" t="s">
        <v>4369</v>
      </c>
      <c r="D143" s="14" t="s">
        <v>1101</v>
      </c>
      <c r="E143" s="14" t="str">
        <f>"0,6540"</f>
        <v>0,6540</v>
      </c>
      <c r="F143" s="14" t="s">
        <v>591</v>
      </c>
      <c r="G143" s="15" t="s">
        <v>455</v>
      </c>
      <c r="H143" s="15" t="s">
        <v>385</v>
      </c>
      <c r="I143" s="16" t="s">
        <v>507</v>
      </c>
      <c r="J143" s="17"/>
      <c r="K143" s="40" t="str">
        <f>"222,5"</f>
        <v>222,5</v>
      </c>
      <c r="L143" s="17" t="str">
        <f>"178,6924"</f>
        <v>178,6924</v>
      </c>
      <c r="M143" s="14" t="s">
        <v>158</v>
      </c>
    </row>
    <row r="144" spans="1:13">
      <c r="A144" s="17" t="s">
        <v>73</v>
      </c>
      <c r="B144" s="14" t="s">
        <v>4370</v>
      </c>
      <c r="C144" s="14" t="s">
        <v>4371</v>
      </c>
      <c r="D144" s="14" t="s">
        <v>1076</v>
      </c>
      <c r="E144" s="14" t="str">
        <f>"0,6447"</f>
        <v>0,6447</v>
      </c>
      <c r="F144" s="14" t="s">
        <v>91</v>
      </c>
      <c r="G144" s="16" t="s">
        <v>351</v>
      </c>
      <c r="H144" s="15" t="s">
        <v>392</v>
      </c>
      <c r="I144" s="16" t="s">
        <v>743</v>
      </c>
      <c r="J144" s="17"/>
      <c r="K144" s="40" t="str">
        <f>"190,0"</f>
        <v>190,0</v>
      </c>
      <c r="L144" s="17" t="str">
        <f>"150,4214"</f>
        <v>150,4214</v>
      </c>
      <c r="M144" s="14" t="s">
        <v>4372</v>
      </c>
    </row>
    <row r="145" spans="1:13">
      <c r="A145" s="17" t="s">
        <v>75</v>
      </c>
      <c r="B145" s="14" t="s">
        <v>1506</v>
      </c>
      <c r="C145" s="14" t="s">
        <v>1507</v>
      </c>
      <c r="D145" s="14" t="s">
        <v>615</v>
      </c>
      <c r="E145" s="14" t="str">
        <f>"0,6491"</f>
        <v>0,6491</v>
      </c>
      <c r="F145" s="14" t="s">
        <v>594</v>
      </c>
      <c r="G145" s="15" t="s">
        <v>80</v>
      </c>
      <c r="H145" s="15" t="s">
        <v>36</v>
      </c>
      <c r="I145" s="15" t="s">
        <v>38</v>
      </c>
      <c r="J145" s="17"/>
      <c r="K145" s="40" t="str">
        <f>"100,0"</f>
        <v>100,0</v>
      </c>
      <c r="L145" s="17" t="str">
        <f>"85,8110"</f>
        <v>85,8110</v>
      </c>
      <c r="M145" s="14" t="s">
        <v>597</v>
      </c>
    </row>
    <row r="146" spans="1:13">
      <c r="A146" s="17" t="s">
        <v>15</v>
      </c>
      <c r="B146" s="14" t="s">
        <v>4373</v>
      </c>
      <c r="C146" s="14" t="s">
        <v>4374</v>
      </c>
      <c r="D146" s="14" t="s">
        <v>1502</v>
      </c>
      <c r="E146" s="14" t="str">
        <f>"0,6519"</f>
        <v>0,6519</v>
      </c>
      <c r="F146" s="14" t="s">
        <v>669</v>
      </c>
      <c r="G146" s="16" t="s">
        <v>459</v>
      </c>
      <c r="H146" s="15" t="s">
        <v>459</v>
      </c>
      <c r="I146" s="16" t="s">
        <v>490</v>
      </c>
      <c r="J146" s="17"/>
      <c r="K146" s="40" t="str">
        <f>"235,0"</f>
        <v>235,0</v>
      </c>
      <c r="L146" s="17" t="str">
        <f>"225,1989"</f>
        <v>225,1989</v>
      </c>
      <c r="M146" s="14" t="s">
        <v>158</v>
      </c>
    </row>
    <row r="147" spans="1:13">
      <c r="A147" s="17" t="s">
        <v>62</v>
      </c>
      <c r="B147" s="14" t="s">
        <v>4375</v>
      </c>
      <c r="C147" s="14" t="s">
        <v>4376</v>
      </c>
      <c r="D147" s="14" t="s">
        <v>1081</v>
      </c>
      <c r="E147" s="14" t="str">
        <f>"0,6384"</f>
        <v>0,6384</v>
      </c>
      <c r="F147" s="14" t="s">
        <v>4377</v>
      </c>
      <c r="G147" s="16" t="s">
        <v>392</v>
      </c>
      <c r="H147" s="15" t="s">
        <v>392</v>
      </c>
      <c r="I147" s="15" t="s">
        <v>436</v>
      </c>
      <c r="J147" s="17"/>
      <c r="K147" s="40" t="str">
        <f>"215,0"</f>
        <v>215,0</v>
      </c>
      <c r="L147" s="17" t="str">
        <f>"197,6486"</f>
        <v>197,6486</v>
      </c>
      <c r="M147" s="14" t="s">
        <v>158</v>
      </c>
    </row>
    <row r="148" spans="1:13">
      <c r="A148" s="20" t="s">
        <v>15</v>
      </c>
      <c r="B148" s="18" t="s">
        <v>667</v>
      </c>
      <c r="C148" s="18" t="s">
        <v>668</v>
      </c>
      <c r="D148" s="18" t="s">
        <v>622</v>
      </c>
      <c r="E148" s="18" t="str">
        <f>"0,6495"</f>
        <v>0,6495</v>
      </c>
      <c r="F148" s="18" t="s">
        <v>669</v>
      </c>
      <c r="G148" s="19" t="s">
        <v>152</v>
      </c>
      <c r="H148" s="19" t="s">
        <v>398</v>
      </c>
      <c r="I148" s="19" t="s">
        <v>368</v>
      </c>
      <c r="J148" s="20"/>
      <c r="K148" s="38" t="str">
        <f>"185,0"</f>
        <v>185,0</v>
      </c>
      <c r="L148" s="20" t="str">
        <f>"228,2993"</f>
        <v>228,2993</v>
      </c>
      <c r="M148" s="18" t="s">
        <v>158</v>
      </c>
    </row>
    <row r="149" spans="1:13">
      <c r="B149" s="5" t="s">
        <v>40</v>
      </c>
    </row>
    <row r="150" spans="1:13" ht="15.95">
      <c r="A150" s="102" t="s">
        <v>670</v>
      </c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spans="1:13">
      <c r="A151" s="13" t="s">
        <v>15</v>
      </c>
      <c r="B151" s="11" t="s">
        <v>1511</v>
      </c>
      <c r="C151" s="11" t="s">
        <v>1512</v>
      </c>
      <c r="D151" s="11" t="s">
        <v>1513</v>
      </c>
      <c r="E151" s="11" t="str">
        <f>"0,6166"</f>
        <v>0,6166</v>
      </c>
      <c r="F151" s="11" t="s">
        <v>594</v>
      </c>
      <c r="G151" s="12" t="s">
        <v>69</v>
      </c>
      <c r="H151" s="12" t="s">
        <v>71</v>
      </c>
      <c r="I151" s="21" t="s">
        <v>58</v>
      </c>
      <c r="J151" s="13"/>
      <c r="K151" s="37" t="str">
        <f>"130,0"</f>
        <v>130,0</v>
      </c>
      <c r="L151" s="13" t="str">
        <f>"80,1580"</f>
        <v>80,1580</v>
      </c>
      <c r="M151" s="11" t="s">
        <v>1514</v>
      </c>
    </row>
    <row r="152" spans="1:13">
      <c r="A152" s="17" t="s">
        <v>15</v>
      </c>
      <c r="B152" s="14" t="s">
        <v>4378</v>
      </c>
      <c r="C152" s="14" t="s">
        <v>4379</v>
      </c>
      <c r="D152" s="14" t="s">
        <v>1130</v>
      </c>
      <c r="E152" s="14" t="str">
        <f>"0,6188"</f>
        <v>0,6188</v>
      </c>
      <c r="F152" s="14" t="s">
        <v>222</v>
      </c>
      <c r="G152" s="15" t="s">
        <v>392</v>
      </c>
      <c r="H152" s="15" t="s">
        <v>384</v>
      </c>
      <c r="I152" s="15" t="s">
        <v>422</v>
      </c>
      <c r="J152" s="17"/>
      <c r="K152" s="40" t="str">
        <f>"240,0"</f>
        <v>240,0</v>
      </c>
      <c r="L152" s="17" t="str">
        <f>"148,5120"</f>
        <v>148,5120</v>
      </c>
      <c r="M152" s="14" t="s">
        <v>223</v>
      </c>
    </row>
    <row r="153" spans="1:13">
      <c r="A153" s="17" t="s">
        <v>92</v>
      </c>
      <c r="B153" s="14" t="s">
        <v>4380</v>
      </c>
      <c r="C153" s="14" t="s">
        <v>4381</v>
      </c>
      <c r="D153" s="14" t="s">
        <v>4382</v>
      </c>
      <c r="E153" s="14" t="str">
        <f>"0,6282"</f>
        <v>0,6282</v>
      </c>
      <c r="F153" s="14" t="s">
        <v>3535</v>
      </c>
      <c r="G153" s="16" t="s">
        <v>490</v>
      </c>
      <c r="H153" s="16" t="s">
        <v>490</v>
      </c>
      <c r="I153" s="16" t="s">
        <v>490</v>
      </c>
      <c r="J153" s="17"/>
      <c r="K153" s="40">
        <v>0</v>
      </c>
      <c r="L153" s="17" t="str">
        <f>"0,0000"</f>
        <v>0,0000</v>
      </c>
      <c r="M153" s="14" t="s">
        <v>4383</v>
      </c>
    </row>
    <row r="154" spans="1:13">
      <c r="A154" s="17" t="s">
        <v>15</v>
      </c>
      <c r="B154" s="14" t="s">
        <v>4384</v>
      </c>
      <c r="C154" s="14" t="s">
        <v>4385</v>
      </c>
      <c r="D154" s="14" t="s">
        <v>2819</v>
      </c>
      <c r="E154" s="14" t="str">
        <f>"0,6121"</f>
        <v>0,6121</v>
      </c>
      <c r="F154" s="14" t="s">
        <v>435</v>
      </c>
      <c r="G154" s="15" t="s">
        <v>754</v>
      </c>
      <c r="H154" s="15" t="s">
        <v>745</v>
      </c>
      <c r="I154" s="16" t="s">
        <v>1005</v>
      </c>
      <c r="J154" s="17"/>
      <c r="K154" s="40" t="str">
        <f>"285,0"</f>
        <v>285,0</v>
      </c>
      <c r="L154" s="17" t="str">
        <f>"174,4485"</f>
        <v>174,4485</v>
      </c>
      <c r="M154" s="14" t="s">
        <v>158</v>
      </c>
    </row>
    <row r="155" spans="1:13">
      <c r="A155" s="17" t="s">
        <v>15</v>
      </c>
      <c r="B155" s="14" t="s">
        <v>1519</v>
      </c>
      <c r="C155" s="14" t="s">
        <v>1520</v>
      </c>
      <c r="D155" s="14" t="s">
        <v>1521</v>
      </c>
      <c r="E155" s="14" t="str">
        <f>"0,6172"</f>
        <v>0,6172</v>
      </c>
      <c r="F155" s="14" t="s">
        <v>1522</v>
      </c>
      <c r="G155" s="15" t="s">
        <v>1086</v>
      </c>
      <c r="H155" s="16" t="s">
        <v>1087</v>
      </c>
      <c r="I155" s="15" t="s">
        <v>842</v>
      </c>
      <c r="J155" s="16" t="s">
        <v>1229</v>
      </c>
      <c r="K155" s="40" t="str">
        <f>"340,0"</f>
        <v>340,0</v>
      </c>
      <c r="L155" s="17" t="str">
        <f>"209,8480"</f>
        <v>209,8480</v>
      </c>
      <c r="M155" s="14" t="s">
        <v>1523</v>
      </c>
    </row>
    <row r="156" spans="1:13">
      <c r="A156" s="17" t="s">
        <v>62</v>
      </c>
      <c r="B156" s="14" t="s">
        <v>2793</v>
      </c>
      <c r="C156" s="14" t="s">
        <v>2794</v>
      </c>
      <c r="D156" s="14" t="s">
        <v>2795</v>
      </c>
      <c r="E156" s="14" t="str">
        <f>"0,6161"</f>
        <v>0,6161</v>
      </c>
      <c r="F156" s="14" t="s">
        <v>91</v>
      </c>
      <c r="G156" s="15" t="s">
        <v>754</v>
      </c>
      <c r="H156" s="16" t="s">
        <v>745</v>
      </c>
      <c r="I156" s="15" t="s">
        <v>1005</v>
      </c>
      <c r="J156" s="17"/>
      <c r="K156" s="40" t="str">
        <f>"295,0"</f>
        <v>295,0</v>
      </c>
      <c r="L156" s="17" t="str">
        <f>"181,7495"</f>
        <v>181,7495</v>
      </c>
      <c r="M156" s="14" t="s">
        <v>158</v>
      </c>
    </row>
    <row r="157" spans="1:13" ht="12.75">
      <c r="A157" s="71" t="s">
        <v>2888</v>
      </c>
      <c r="B157" s="14" t="s">
        <v>4386</v>
      </c>
      <c r="C157" s="14" t="s">
        <v>4387</v>
      </c>
      <c r="D157" s="14" t="s">
        <v>4388</v>
      </c>
      <c r="E157" s="14" t="str">
        <f>"0,6295"</f>
        <v>0,6295</v>
      </c>
      <c r="F157" s="14" t="s">
        <v>4389</v>
      </c>
      <c r="G157" s="15" t="s">
        <v>822</v>
      </c>
      <c r="H157" s="16" t="s">
        <v>804</v>
      </c>
      <c r="I157" s="16" t="s">
        <v>1194</v>
      </c>
      <c r="J157" s="17"/>
      <c r="K157" s="40" t="str">
        <f>"290,0"</f>
        <v>290,0</v>
      </c>
      <c r="L157" s="17" t="str">
        <f>"182,5550"</f>
        <v>182,5550</v>
      </c>
      <c r="M157" s="14" t="s">
        <v>4390</v>
      </c>
    </row>
    <row r="158" spans="1:13">
      <c r="A158" s="17" t="s">
        <v>75</v>
      </c>
      <c r="B158" s="14" t="s">
        <v>4391</v>
      </c>
      <c r="C158" s="14" t="s">
        <v>4392</v>
      </c>
      <c r="D158" s="14" t="s">
        <v>3737</v>
      </c>
      <c r="E158" s="14" t="str">
        <f>"0,6144"</f>
        <v>0,6144</v>
      </c>
      <c r="F158" s="14" t="s">
        <v>176</v>
      </c>
      <c r="G158" s="15" t="s">
        <v>745</v>
      </c>
      <c r="H158" s="15" t="s">
        <v>822</v>
      </c>
      <c r="I158" s="16" t="s">
        <v>1194</v>
      </c>
      <c r="J158" s="17"/>
      <c r="K158" s="40" t="str">
        <f>"290,0"</f>
        <v>290,0</v>
      </c>
      <c r="L158" s="17" t="str">
        <f>"178,1760"</f>
        <v>178,1760</v>
      </c>
      <c r="M158" s="14" t="s">
        <v>1261</v>
      </c>
    </row>
    <row r="159" spans="1:13">
      <c r="A159" s="17" t="s">
        <v>87</v>
      </c>
      <c r="B159" s="14" t="s">
        <v>2144</v>
      </c>
      <c r="C159" s="14" t="s">
        <v>2145</v>
      </c>
      <c r="D159" s="14" t="s">
        <v>2146</v>
      </c>
      <c r="E159" s="14" t="str">
        <f>"0,6101"</f>
        <v>0,6101</v>
      </c>
      <c r="F159" s="14" t="s">
        <v>602</v>
      </c>
      <c r="G159" s="15" t="s">
        <v>523</v>
      </c>
      <c r="H159" s="15" t="s">
        <v>1717</v>
      </c>
      <c r="I159" s="16" t="s">
        <v>746</v>
      </c>
      <c r="J159" s="17"/>
      <c r="K159" s="40" t="str">
        <f>"277,5"</f>
        <v>277,5</v>
      </c>
      <c r="L159" s="17" t="str">
        <f>"169,3027"</f>
        <v>169,3027</v>
      </c>
      <c r="M159" s="14" t="s">
        <v>2147</v>
      </c>
    </row>
    <row r="160" spans="1:13">
      <c r="A160" s="17" t="s">
        <v>168</v>
      </c>
      <c r="B160" s="14" t="s">
        <v>4393</v>
      </c>
      <c r="C160" s="14" t="s">
        <v>4394</v>
      </c>
      <c r="D160" s="14" t="s">
        <v>3282</v>
      </c>
      <c r="E160" s="14" t="str">
        <f>"0,6108"</f>
        <v>0,6108</v>
      </c>
      <c r="F160" s="14" t="s">
        <v>4395</v>
      </c>
      <c r="G160" s="15" t="s">
        <v>422</v>
      </c>
      <c r="H160" s="15" t="s">
        <v>529</v>
      </c>
      <c r="I160" s="15" t="s">
        <v>640</v>
      </c>
      <c r="J160" s="17"/>
      <c r="K160" s="40" t="str">
        <f>"270,0"</f>
        <v>270,0</v>
      </c>
      <c r="L160" s="17" t="str">
        <f>"164,9160"</f>
        <v>164,9160</v>
      </c>
      <c r="M160" s="14" t="s">
        <v>158</v>
      </c>
    </row>
    <row r="161" spans="1:13">
      <c r="A161" s="17" t="s">
        <v>172</v>
      </c>
      <c r="B161" s="14" t="s">
        <v>2148</v>
      </c>
      <c r="C161" s="14" t="s">
        <v>2149</v>
      </c>
      <c r="D161" s="14" t="s">
        <v>1832</v>
      </c>
      <c r="E161" s="14" t="str">
        <f>"0,6106"</f>
        <v>0,6106</v>
      </c>
      <c r="F161" s="14" t="s">
        <v>1254</v>
      </c>
      <c r="G161" s="15" t="s">
        <v>422</v>
      </c>
      <c r="H161" s="15" t="s">
        <v>490</v>
      </c>
      <c r="I161" s="16" t="s">
        <v>529</v>
      </c>
      <c r="J161" s="17"/>
      <c r="K161" s="40" t="str">
        <f>"250,0"</f>
        <v>250,0</v>
      </c>
      <c r="L161" s="17" t="str">
        <f>"152,6500"</f>
        <v>152,6500</v>
      </c>
      <c r="M161" s="14" t="s">
        <v>158</v>
      </c>
    </row>
    <row r="162" spans="1:13">
      <c r="A162" s="17" t="s">
        <v>178</v>
      </c>
      <c r="B162" s="14" t="s">
        <v>688</v>
      </c>
      <c r="C162" s="14" t="s">
        <v>689</v>
      </c>
      <c r="D162" s="14" t="s">
        <v>677</v>
      </c>
      <c r="E162" s="14" t="str">
        <f>"0,6098"</f>
        <v>0,6098</v>
      </c>
      <c r="F162" s="14" t="s">
        <v>690</v>
      </c>
      <c r="G162" s="15" t="s">
        <v>421</v>
      </c>
      <c r="H162" s="15" t="s">
        <v>627</v>
      </c>
      <c r="I162" s="16" t="s">
        <v>523</v>
      </c>
      <c r="J162" s="17"/>
      <c r="K162" s="40" t="str">
        <f>"245,0"</f>
        <v>245,0</v>
      </c>
      <c r="L162" s="17" t="str">
        <f>"149,4010"</f>
        <v>149,4010</v>
      </c>
      <c r="M162" s="14" t="s">
        <v>691</v>
      </c>
    </row>
    <row r="163" spans="1:13">
      <c r="A163" s="17" t="s">
        <v>183</v>
      </c>
      <c r="B163" s="14" t="s">
        <v>4396</v>
      </c>
      <c r="C163" s="14" t="s">
        <v>4397</v>
      </c>
      <c r="D163" s="14" t="s">
        <v>686</v>
      </c>
      <c r="E163" s="14" t="str">
        <f>"0,6113"</f>
        <v>0,6113</v>
      </c>
      <c r="F163" s="14" t="s">
        <v>262</v>
      </c>
      <c r="G163" s="15" t="s">
        <v>420</v>
      </c>
      <c r="H163" s="16" t="s">
        <v>422</v>
      </c>
      <c r="I163" s="15" t="s">
        <v>422</v>
      </c>
      <c r="J163" s="17"/>
      <c r="K163" s="40" t="str">
        <f>"240,0"</f>
        <v>240,0</v>
      </c>
      <c r="L163" s="17" t="str">
        <f>"146,7120"</f>
        <v>146,7120</v>
      </c>
      <c r="M163" s="14" t="s">
        <v>4398</v>
      </c>
    </row>
    <row r="164" spans="1:13">
      <c r="A164" s="17" t="s">
        <v>186</v>
      </c>
      <c r="B164" s="14" t="s">
        <v>4399</v>
      </c>
      <c r="C164" s="14" t="s">
        <v>4400</v>
      </c>
      <c r="D164" s="14" t="s">
        <v>1835</v>
      </c>
      <c r="E164" s="14" t="str">
        <f>"0,6103"</f>
        <v>0,6103</v>
      </c>
      <c r="F164" s="14" t="s">
        <v>91</v>
      </c>
      <c r="G164" s="16" t="s">
        <v>420</v>
      </c>
      <c r="H164" s="15" t="s">
        <v>421</v>
      </c>
      <c r="I164" s="15" t="s">
        <v>422</v>
      </c>
      <c r="J164" s="17"/>
      <c r="K164" s="40" t="str">
        <f>"240,0"</f>
        <v>240,0</v>
      </c>
      <c r="L164" s="17" t="str">
        <f>"146,4720"</f>
        <v>146,4720</v>
      </c>
      <c r="M164" s="14" t="s">
        <v>158</v>
      </c>
    </row>
    <row r="165" spans="1:13">
      <c r="A165" s="17" t="s">
        <v>556</v>
      </c>
      <c r="B165" s="14" t="s">
        <v>1526</v>
      </c>
      <c r="C165" s="14" t="s">
        <v>1527</v>
      </c>
      <c r="D165" s="14" t="s">
        <v>1124</v>
      </c>
      <c r="E165" s="14" t="str">
        <f>"0,6197"</f>
        <v>0,6197</v>
      </c>
      <c r="F165" s="14" t="s">
        <v>2151</v>
      </c>
      <c r="G165" s="15" t="s">
        <v>384</v>
      </c>
      <c r="H165" s="15" t="s">
        <v>441</v>
      </c>
      <c r="I165" s="15" t="s">
        <v>442</v>
      </c>
      <c r="J165" s="17"/>
      <c r="K165" s="40" t="str">
        <f>"225,0"</f>
        <v>225,0</v>
      </c>
      <c r="L165" s="17" t="str">
        <f>"139,4325"</f>
        <v>139,4325</v>
      </c>
      <c r="M165" s="14" t="s">
        <v>158</v>
      </c>
    </row>
    <row r="166" spans="1:13">
      <c r="A166" s="17" t="s">
        <v>559</v>
      </c>
      <c r="B166" s="14" t="s">
        <v>4401</v>
      </c>
      <c r="C166" s="14" t="s">
        <v>4402</v>
      </c>
      <c r="D166" s="14" t="s">
        <v>2838</v>
      </c>
      <c r="E166" s="14" t="str">
        <f>"0,6345"</f>
        <v>0,6345</v>
      </c>
      <c r="F166" s="14" t="s">
        <v>91</v>
      </c>
      <c r="G166" s="15" t="s">
        <v>398</v>
      </c>
      <c r="H166" s="15" t="s">
        <v>453</v>
      </c>
      <c r="I166" s="16" t="s">
        <v>454</v>
      </c>
      <c r="J166" s="17"/>
      <c r="K166" s="40" t="str">
        <f>"187,5"</f>
        <v>187,5</v>
      </c>
      <c r="L166" s="17" t="str">
        <f>"118,9688"</f>
        <v>118,9688</v>
      </c>
      <c r="M166" s="14" t="s">
        <v>158</v>
      </c>
    </row>
    <row r="167" spans="1:13">
      <c r="A167" s="17" t="s">
        <v>15</v>
      </c>
      <c r="B167" s="14" t="s">
        <v>4403</v>
      </c>
      <c r="C167" s="14" t="s">
        <v>4404</v>
      </c>
      <c r="D167" s="14" t="s">
        <v>3282</v>
      </c>
      <c r="E167" s="14" t="str">
        <f>"0,6108"</f>
        <v>0,6108</v>
      </c>
      <c r="F167" s="14" t="s">
        <v>644</v>
      </c>
      <c r="G167" s="15" t="s">
        <v>422</v>
      </c>
      <c r="H167" s="15" t="s">
        <v>529</v>
      </c>
      <c r="I167" s="15" t="s">
        <v>491</v>
      </c>
      <c r="J167" s="17"/>
      <c r="K167" s="40" t="str">
        <f>"265,0"</f>
        <v>265,0</v>
      </c>
      <c r="L167" s="17" t="str">
        <f>"171,5737"</f>
        <v>171,5737</v>
      </c>
      <c r="M167" s="14" t="s">
        <v>646</v>
      </c>
    </row>
    <row r="168" spans="1:13">
      <c r="A168" s="17" t="s">
        <v>62</v>
      </c>
      <c r="B168" s="14" t="s">
        <v>2148</v>
      </c>
      <c r="C168" s="14" t="s">
        <v>2158</v>
      </c>
      <c r="D168" s="14" t="s">
        <v>1832</v>
      </c>
      <c r="E168" s="14" t="str">
        <f>"0,6106"</f>
        <v>0,6106</v>
      </c>
      <c r="F168" s="14" t="s">
        <v>1254</v>
      </c>
      <c r="G168" s="15" t="s">
        <v>422</v>
      </c>
      <c r="H168" s="15" t="s">
        <v>490</v>
      </c>
      <c r="I168" s="16" t="s">
        <v>529</v>
      </c>
      <c r="J168" s="17"/>
      <c r="K168" s="40" t="str">
        <f>"250,0"</f>
        <v>250,0</v>
      </c>
      <c r="L168" s="17" t="str">
        <f>"161,8090"</f>
        <v>161,8090</v>
      </c>
      <c r="M168" s="14" t="s">
        <v>158</v>
      </c>
    </row>
    <row r="169" spans="1:13">
      <c r="A169" s="17" t="s">
        <v>15</v>
      </c>
      <c r="B169" s="14" t="s">
        <v>2159</v>
      </c>
      <c r="C169" s="14" t="s">
        <v>2160</v>
      </c>
      <c r="D169" s="14" t="s">
        <v>2161</v>
      </c>
      <c r="E169" s="14" t="str">
        <f>"0,6257"</f>
        <v>0,6257</v>
      </c>
      <c r="F169" s="14" t="s">
        <v>2162</v>
      </c>
      <c r="G169" s="15" t="s">
        <v>421</v>
      </c>
      <c r="H169" s="15" t="s">
        <v>422</v>
      </c>
      <c r="I169" s="15" t="s">
        <v>627</v>
      </c>
      <c r="J169" s="17"/>
      <c r="K169" s="40" t="str">
        <f>"245,0"</f>
        <v>245,0</v>
      </c>
      <c r="L169" s="17" t="str">
        <f>"181,9629"</f>
        <v>181,9629</v>
      </c>
      <c r="M169" s="14" t="s">
        <v>2163</v>
      </c>
    </row>
    <row r="170" spans="1:13">
      <c r="A170" s="17" t="s">
        <v>15</v>
      </c>
      <c r="B170" s="14" t="s">
        <v>2831</v>
      </c>
      <c r="C170" s="14" t="s">
        <v>2832</v>
      </c>
      <c r="D170" s="14" t="s">
        <v>1197</v>
      </c>
      <c r="E170" s="14" t="str">
        <f>"0,6139"</f>
        <v>0,6139</v>
      </c>
      <c r="F170" s="14" t="s">
        <v>2128</v>
      </c>
      <c r="G170" s="15" t="s">
        <v>351</v>
      </c>
      <c r="H170" s="15" t="s">
        <v>398</v>
      </c>
      <c r="I170" s="17"/>
      <c r="J170" s="17"/>
      <c r="K170" s="40" t="str">
        <f>"180,0"</f>
        <v>180,0</v>
      </c>
      <c r="L170" s="17" t="str">
        <f>"155,8078"</f>
        <v>155,8078</v>
      </c>
      <c r="M170" s="14" t="s">
        <v>158</v>
      </c>
    </row>
    <row r="171" spans="1:13">
      <c r="A171" s="20" t="s">
        <v>15</v>
      </c>
      <c r="B171" s="18" t="s">
        <v>2164</v>
      </c>
      <c r="C171" s="18" t="s">
        <v>2165</v>
      </c>
      <c r="D171" s="18" t="s">
        <v>1168</v>
      </c>
      <c r="E171" s="18" t="str">
        <f>"0,6183"</f>
        <v>0,6183</v>
      </c>
      <c r="F171" s="18" t="s">
        <v>2166</v>
      </c>
      <c r="G171" s="19" t="s">
        <v>205</v>
      </c>
      <c r="H171" s="19" t="s">
        <v>152</v>
      </c>
      <c r="I171" s="19" t="s">
        <v>248</v>
      </c>
      <c r="J171" s="20"/>
      <c r="K171" s="38" t="str">
        <f>"170,0"</f>
        <v>170,0</v>
      </c>
      <c r="L171" s="20" t="str">
        <f>"191,3020"</f>
        <v>191,3020</v>
      </c>
      <c r="M171" s="18" t="s">
        <v>158</v>
      </c>
    </row>
    <row r="172" spans="1:13">
      <c r="B172" s="5" t="s">
        <v>40</v>
      </c>
    </row>
    <row r="173" spans="1:13" ht="15.95">
      <c r="A173" s="102" t="s">
        <v>724</v>
      </c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</row>
    <row r="174" spans="1:13">
      <c r="A174" s="13" t="s">
        <v>15</v>
      </c>
      <c r="B174" s="11" t="s">
        <v>4405</v>
      </c>
      <c r="C174" s="11" t="s">
        <v>4406</v>
      </c>
      <c r="D174" s="11" t="s">
        <v>4407</v>
      </c>
      <c r="E174" s="11" t="str">
        <f>"0,5966"</f>
        <v>0,5966</v>
      </c>
      <c r="F174" s="11" t="s">
        <v>3535</v>
      </c>
      <c r="G174" s="12" t="s">
        <v>420</v>
      </c>
      <c r="H174" s="12" t="s">
        <v>645</v>
      </c>
      <c r="I174" s="21" t="s">
        <v>3234</v>
      </c>
      <c r="J174" s="13"/>
      <c r="K174" s="37" t="str">
        <f>"247,5"</f>
        <v>247,5</v>
      </c>
      <c r="L174" s="13" t="str">
        <f>"147,6585"</f>
        <v>147,6585</v>
      </c>
      <c r="M174" s="11" t="s">
        <v>158</v>
      </c>
    </row>
    <row r="175" spans="1:13">
      <c r="A175" s="17" t="s">
        <v>62</v>
      </c>
      <c r="B175" s="14" t="s">
        <v>4408</v>
      </c>
      <c r="C175" s="14" t="s">
        <v>4409</v>
      </c>
      <c r="D175" s="14" t="s">
        <v>3924</v>
      </c>
      <c r="E175" s="14" t="str">
        <f>"0,6064"</f>
        <v>0,6064</v>
      </c>
      <c r="F175" s="14" t="s">
        <v>3873</v>
      </c>
      <c r="G175" s="16" t="s">
        <v>398</v>
      </c>
      <c r="H175" s="15" t="s">
        <v>398</v>
      </c>
      <c r="I175" s="16" t="s">
        <v>436</v>
      </c>
      <c r="J175" s="17"/>
      <c r="K175" s="40" t="str">
        <f>"180,0"</f>
        <v>180,0</v>
      </c>
      <c r="L175" s="17" t="str">
        <f>"109,1520"</f>
        <v>109,1520</v>
      </c>
      <c r="M175" s="14" t="s">
        <v>4286</v>
      </c>
    </row>
    <row r="176" spans="1:13">
      <c r="A176" s="17" t="s">
        <v>15</v>
      </c>
      <c r="B176" s="14" t="s">
        <v>1539</v>
      </c>
      <c r="C176" s="14" t="s">
        <v>1540</v>
      </c>
      <c r="D176" s="14" t="s">
        <v>1269</v>
      </c>
      <c r="E176" s="14" t="str">
        <f>"0,5897"</f>
        <v>0,5897</v>
      </c>
      <c r="F176" s="14" t="s">
        <v>45</v>
      </c>
      <c r="G176" s="15" t="s">
        <v>738</v>
      </c>
      <c r="H176" s="15" t="s">
        <v>804</v>
      </c>
      <c r="I176" s="15" t="s">
        <v>1043</v>
      </c>
      <c r="J176" s="17"/>
      <c r="K176" s="40" t="str">
        <f>"310,0"</f>
        <v>310,0</v>
      </c>
      <c r="L176" s="17" t="str">
        <f>"182,8070"</f>
        <v>182,8070</v>
      </c>
      <c r="M176" s="14" t="s">
        <v>50</v>
      </c>
    </row>
    <row r="177" spans="1:13">
      <c r="A177" s="17" t="s">
        <v>62</v>
      </c>
      <c r="B177" s="14" t="s">
        <v>4410</v>
      </c>
      <c r="C177" s="14" t="s">
        <v>4411</v>
      </c>
      <c r="D177" s="14" t="s">
        <v>3812</v>
      </c>
      <c r="E177" s="14" t="str">
        <f>"0,5964"</f>
        <v>0,5964</v>
      </c>
      <c r="F177" s="14" t="s">
        <v>102</v>
      </c>
      <c r="G177" s="15" t="s">
        <v>523</v>
      </c>
      <c r="H177" s="15" t="s">
        <v>738</v>
      </c>
      <c r="I177" s="15" t="s">
        <v>822</v>
      </c>
      <c r="J177" s="17"/>
      <c r="K177" s="40" t="str">
        <f>"290,0"</f>
        <v>290,0</v>
      </c>
      <c r="L177" s="17" t="str">
        <f>"172,9560"</f>
        <v>172,9560</v>
      </c>
      <c r="M177" s="14" t="s">
        <v>158</v>
      </c>
    </row>
    <row r="178" spans="1:13">
      <c r="A178" s="17" t="s">
        <v>73</v>
      </c>
      <c r="B178" s="14" t="s">
        <v>1259</v>
      </c>
      <c r="C178" s="14" t="s">
        <v>1260</v>
      </c>
      <c r="D178" s="14" t="s">
        <v>1217</v>
      </c>
      <c r="E178" s="14" t="str">
        <f>"0,5930"</f>
        <v>0,5930</v>
      </c>
      <c r="F178" s="14" t="s">
        <v>176</v>
      </c>
      <c r="G178" s="16" t="s">
        <v>822</v>
      </c>
      <c r="H178" s="15" t="s">
        <v>822</v>
      </c>
      <c r="I178" s="16" t="s">
        <v>1030</v>
      </c>
      <c r="J178" s="17"/>
      <c r="K178" s="40" t="str">
        <f>"290,0"</f>
        <v>290,0</v>
      </c>
      <c r="L178" s="17" t="str">
        <f>"171,9700"</f>
        <v>171,9700</v>
      </c>
      <c r="M178" s="14" t="s">
        <v>1261</v>
      </c>
    </row>
    <row r="179" spans="1:13">
      <c r="A179" s="17" t="s">
        <v>75</v>
      </c>
      <c r="B179" s="14" t="s">
        <v>734</v>
      </c>
      <c r="C179" s="14" t="s">
        <v>735</v>
      </c>
      <c r="D179" s="14" t="s">
        <v>736</v>
      </c>
      <c r="E179" s="14" t="str">
        <f>"0,6050"</f>
        <v>0,6050</v>
      </c>
      <c r="F179" s="14" t="s">
        <v>737</v>
      </c>
      <c r="G179" s="15" t="s">
        <v>490</v>
      </c>
      <c r="H179" s="15" t="s">
        <v>640</v>
      </c>
      <c r="I179" s="16" t="s">
        <v>738</v>
      </c>
      <c r="J179" s="17"/>
      <c r="K179" s="40" t="str">
        <f>"270,0"</f>
        <v>270,0</v>
      </c>
      <c r="L179" s="17" t="str">
        <f>"163,3500"</f>
        <v>163,3500</v>
      </c>
      <c r="M179" s="14" t="s">
        <v>739</v>
      </c>
    </row>
    <row r="180" spans="1:13">
      <c r="A180" s="17" t="s">
        <v>87</v>
      </c>
      <c r="B180" s="14" t="s">
        <v>4412</v>
      </c>
      <c r="C180" s="14" t="s">
        <v>4413</v>
      </c>
      <c r="D180" s="14" t="s">
        <v>2903</v>
      </c>
      <c r="E180" s="14" t="str">
        <f>"0,5916"</f>
        <v>0,5916</v>
      </c>
      <c r="F180" s="14" t="s">
        <v>1481</v>
      </c>
      <c r="G180" s="15" t="s">
        <v>422</v>
      </c>
      <c r="H180" s="15" t="s">
        <v>523</v>
      </c>
      <c r="I180" s="16" t="s">
        <v>744</v>
      </c>
      <c r="J180" s="17"/>
      <c r="K180" s="40" t="str">
        <f>"260,0"</f>
        <v>260,0</v>
      </c>
      <c r="L180" s="17" t="str">
        <f>"153,8160"</f>
        <v>153,8160</v>
      </c>
      <c r="M180" s="14" t="s">
        <v>158</v>
      </c>
    </row>
    <row r="181" spans="1:13">
      <c r="A181" s="17" t="s">
        <v>168</v>
      </c>
      <c r="B181" s="14" t="s">
        <v>2894</v>
      </c>
      <c r="C181" s="14" t="s">
        <v>2895</v>
      </c>
      <c r="D181" s="14" t="s">
        <v>1888</v>
      </c>
      <c r="E181" s="14" t="str">
        <f>"0,5945"</f>
        <v>0,5945</v>
      </c>
      <c r="F181" s="14" t="s">
        <v>1697</v>
      </c>
      <c r="G181" s="16" t="s">
        <v>384</v>
      </c>
      <c r="H181" s="15" t="s">
        <v>384</v>
      </c>
      <c r="I181" s="15" t="s">
        <v>421</v>
      </c>
      <c r="J181" s="17"/>
      <c r="K181" s="40" t="str">
        <f>"230,0"</f>
        <v>230,0</v>
      </c>
      <c r="L181" s="17" t="str">
        <f>"136,7350"</f>
        <v>136,7350</v>
      </c>
      <c r="M181" s="14" t="s">
        <v>158</v>
      </c>
    </row>
    <row r="182" spans="1:13">
      <c r="A182" s="17" t="s">
        <v>172</v>
      </c>
      <c r="B182" s="14" t="s">
        <v>770</v>
      </c>
      <c r="C182" s="14" t="s">
        <v>771</v>
      </c>
      <c r="D182" s="14" t="s">
        <v>772</v>
      </c>
      <c r="E182" s="14" t="str">
        <f>"0,6074"</f>
        <v>0,6074</v>
      </c>
      <c r="F182" s="14" t="s">
        <v>350</v>
      </c>
      <c r="G182" s="15" t="s">
        <v>351</v>
      </c>
      <c r="H182" s="15" t="s">
        <v>368</v>
      </c>
      <c r="I182" s="15" t="s">
        <v>383</v>
      </c>
      <c r="J182" s="17"/>
      <c r="K182" s="40" t="str">
        <f>"195,0"</f>
        <v>195,0</v>
      </c>
      <c r="L182" s="17" t="str">
        <f>"118,4430"</f>
        <v>118,4430</v>
      </c>
      <c r="M182" s="14" t="s">
        <v>158</v>
      </c>
    </row>
    <row r="183" spans="1:13">
      <c r="A183" s="17" t="s">
        <v>92</v>
      </c>
      <c r="B183" s="14" t="s">
        <v>4414</v>
      </c>
      <c r="C183" s="14" t="s">
        <v>4415</v>
      </c>
      <c r="D183" s="14" t="s">
        <v>1869</v>
      </c>
      <c r="E183" s="14" t="str">
        <f>"0,5990"</f>
        <v>0,5990</v>
      </c>
      <c r="F183" s="14" t="s">
        <v>4416</v>
      </c>
      <c r="G183" s="16" t="s">
        <v>490</v>
      </c>
      <c r="H183" s="16" t="s">
        <v>640</v>
      </c>
      <c r="I183" s="16" t="s">
        <v>803</v>
      </c>
      <c r="J183" s="17"/>
      <c r="K183" s="40">
        <v>0</v>
      </c>
      <c r="L183" s="17" t="str">
        <f>"0,0000"</f>
        <v>0,0000</v>
      </c>
      <c r="M183" s="14" t="s">
        <v>158</v>
      </c>
    </row>
    <row r="184" spans="1:13">
      <c r="A184" s="17" t="s">
        <v>15</v>
      </c>
      <c r="B184" s="14" t="s">
        <v>4417</v>
      </c>
      <c r="C184" s="14" t="s">
        <v>4418</v>
      </c>
      <c r="D184" s="14" t="s">
        <v>3425</v>
      </c>
      <c r="E184" s="14" t="str">
        <f>"0,6024"</f>
        <v>0,6024</v>
      </c>
      <c r="F184" s="14" t="s">
        <v>266</v>
      </c>
      <c r="G184" s="15" t="s">
        <v>490</v>
      </c>
      <c r="H184" s="15" t="s">
        <v>523</v>
      </c>
      <c r="I184" s="16" t="s">
        <v>640</v>
      </c>
      <c r="J184" s="17"/>
      <c r="K184" s="40" t="str">
        <f>"260,0"</f>
        <v>260,0</v>
      </c>
      <c r="L184" s="17" t="str">
        <f>"157,4071"</f>
        <v>157,4071</v>
      </c>
      <c r="M184" s="14" t="s">
        <v>4419</v>
      </c>
    </row>
    <row r="185" spans="1:13">
      <c r="A185" s="17" t="s">
        <v>62</v>
      </c>
      <c r="B185" s="14" t="s">
        <v>4420</v>
      </c>
      <c r="C185" s="14" t="s">
        <v>4421</v>
      </c>
      <c r="D185" s="14" t="s">
        <v>4422</v>
      </c>
      <c r="E185" s="14" t="str">
        <f>"0,6017"</f>
        <v>0,6017</v>
      </c>
      <c r="F185" s="14" t="s">
        <v>4423</v>
      </c>
      <c r="G185" s="15" t="s">
        <v>399</v>
      </c>
      <c r="H185" s="15" t="s">
        <v>436</v>
      </c>
      <c r="I185" s="17"/>
      <c r="J185" s="17"/>
      <c r="K185" s="40" t="str">
        <f>"215,0"</f>
        <v>215,0</v>
      </c>
      <c r="L185" s="17" t="str">
        <f>"130,0123"</f>
        <v>130,0123</v>
      </c>
      <c r="M185" s="14" t="s">
        <v>158</v>
      </c>
    </row>
    <row r="186" spans="1:13">
      <c r="A186" s="17" t="s">
        <v>73</v>
      </c>
      <c r="B186" s="14" t="s">
        <v>774</v>
      </c>
      <c r="C186" s="14" t="s">
        <v>775</v>
      </c>
      <c r="D186" s="14" t="s">
        <v>776</v>
      </c>
      <c r="E186" s="14" t="str">
        <f>"0,5910"</f>
        <v>0,5910</v>
      </c>
      <c r="F186" s="14" t="s">
        <v>602</v>
      </c>
      <c r="G186" s="16" t="s">
        <v>374</v>
      </c>
      <c r="H186" s="15" t="s">
        <v>374</v>
      </c>
      <c r="I186" s="16" t="s">
        <v>384</v>
      </c>
      <c r="J186" s="17"/>
      <c r="K186" s="40" t="str">
        <f>"200,0"</f>
        <v>200,0</v>
      </c>
      <c r="L186" s="17" t="str">
        <f>"123,4008"</f>
        <v>123,4008</v>
      </c>
      <c r="M186" s="14" t="s">
        <v>158</v>
      </c>
    </row>
    <row r="187" spans="1:13">
      <c r="A187" s="17" t="s">
        <v>75</v>
      </c>
      <c r="B187" s="14" t="s">
        <v>4424</v>
      </c>
      <c r="C187" s="14" t="s">
        <v>4425</v>
      </c>
      <c r="D187" s="14" t="s">
        <v>2907</v>
      </c>
      <c r="E187" s="14" t="str">
        <f>"0,6015"</f>
        <v>0,6015</v>
      </c>
      <c r="F187" s="14" t="s">
        <v>91</v>
      </c>
      <c r="G187" s="15" t="s">
        <v>248</v>
      </c>
      <c r="H187" s="15" t="s">
        <v>368</v>
      </c>
      <c r="I187" s="16" t="s">
        <v>454</v>
      </c>
      <c r="J187" s="17"/>
      <c r="K187" s="40" t="str">
        <f>"185,0"</f>
        <v>185,0</v>
      </c>
      <c r="L187" s="17" t="str">
        <f>"114,3933"</f>
        <v>114,3933</v>
      </c>
      <c r="M187" s="14" t="s">
        <v>158</v>
      </c>
    </row>
    <row r="188" spans="1:13">
      <c r="A188" s="17" t="s">
        <v>92</v>
      </c>
      <c r="B188" s="14" t="s">
        <v>4414</v>
      </c>
      <c r="C188" s="14" t="s">
        <v>4426</v>
      </c>
      <c r="D188" s="14" t="s">
        <v>1869</v>
      </c>
      <c r="E188" s="14" t="str">
        <f>"0,5990"</f>
        <v>0,5990</v>
      </c>
      <c r="F188" s="14" t="s">
        <v>4416</v>
      </c>
      <c r="G188" s="16" t="s">
        <v>490</v>
      </c>
      <c r="H188" s="16" t="s">
        <v>640</v>
      </c>
      <c r="I188" s="16" t="s">
        <v>803</v>
      </c>
      <c r="J188" s="17"/>
      <c r="K188" s="40">
        <v>0</v>
      </c>
      <c r="L188" s="17" t="str">
        <f>"0,0000"</f>
        <v>0,0000</v>
      </c>
      <c r="M188" s="14" t="s">
        <v>158</v>
      </c>
    </row>
    <row r="189" spans="1:13">
      <c r="A189" s="20" t="s">
        <v>15</v>
      </c>
      <c r="B189" s="18" t="s">
        <v>780</v>
      </c>
      <c r="C189" s="18" t="s">
        <v>781</v>
      </c>
      <c r="D189" s="18" t="s">
        <v>782</v>
      </c>
      <c r="E189" s="18" t="str">
        <f>"0,6019"</f>
        <v>0,6019</v>
      </c>
      <c r="F189" s="18" t="s">
        <v>594</v>
      </c>
      <c r="G189" s="19" t="s">
        <v>399</v>
      </c>
      <c r="H189" s="19" t="s">
        <v>420</v>
      </c>
      <c r="I189" s="22" t="s">
        <v>507</v>
      </c>
      <c r="J189" s="20"/>
      <c r="K189" s="38" t="str">
        <f>"220,0"</f>
        <v>220,0</v>
      </c>
      <c r="L189" s="20" t="str">
        <f>"182,7368"</f>
        <v>182,7368</v>
      </c>
      <c r="M189" s="18" t="s">
        <v>597</v>
      </c>
    </row>
    <row r="190" spans="1:13">
      <c r="B190" s="5" t="s">
        <v>40</v>
      </c>
    </row>
    <row r="191" spans="1:13" ht="15.95">
      <c r="A191" s="102" t="s">
        <v>783</v>
      </c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</row>
    <row r="192" spans="1:13">
      <c r="A192" s="13" t="s">
        <v>15</v>
      </c>
      <c r="B192" s="11" t="s">
        <v>1547</v>
      </c>
      <c r="C192" s="11" t="s">
        <v>1548</v>
      </c>
      <c r="D192" s="11" t="s">
        <v>1549</v>
      </c>
      <c r="E192" s="11" t="str">
        <f>"0,5716"</f>
        <v>0,5716</v>
      </c>
      <c r="F192" s="11" t="s">
        <v>91</v>
      </c>
      <c r="G192" s="12" t="s">
        <v>392</v>
      </c>
      <c r="H192" s="12" t="s">
        <v>399</v>
      </c>
      <c r="I192" s="12" t="s">
        <v>436</v>
      </c>
      <c r="J192" s="21" t="s">
        <v>442</v>
      </c>
      <c r="K192" s="37" t="str">
        <f>"215,0"</f>
        <v>215,0</v>
      </c>
      <c r="L192" s="13" t="str">
        <f>"122,8940"</f>
        <v>122,8940</v>
      </c>
      <c r="M192" s="11" t="s">
        <v>1550</v>
      </c>
    </row>
    <row r="193" spans="1:13">
      <c r="A193" s="17" t="s">
        <v>15</v>
      </c>
      <c r="B193" s="14" t="s">
        <v>4427</v>
      </c>
      <c r="C193" s="14" t="s">
        <v>4428</v>
      </c>
      <c r="D193" s="14" t="s">
        <v>3839</v>
      </c>
      <c r="E193" s="14" t="str">
        <f>"0,5756"</f>
        <v>0,5756</v>
      </c>
      <c r="F193" s="14" t="s">
        <v>3535</v>
      </c>
      <c r="G193" s="16" t="s">
        <v>421</v>
      </c>
      <c r="H193" s="15" t="s">
        <v>421</v>
      </c>
      <c r="I193" s="15" t="s">
        <v>1175</v>
      </c>
      <c r="J193" s="17"/>
      <c r="K193" s="40" t="str">
        <f>"257,5"</f>
        <v>257,5</v>
      </c>
      <c r="L193" s="17" t="str">
        <f>"148,2170"</f>
        <v>148,2170</v>
      </c>
      <c r="M193" s="14" t="s">
        <v>158</v>
      </c>
    </row>
    <row r="194" spans="1:13">
      <c r="A194" s="17" t="s">
        <v>15</v>
      </c>
      <c r="B194" s="14" t="s">
        <v>1551</v>
      </c>
      <c r="C194" s="14" t="s">
        <v>1552</v>
      </c>
      <c r="D194" s="14" t="s">
        <v>1553</v>
      </c>
      <c r="E194" s="14" t="str">
        <f>"0,5778"</f>
        <v>0,5778</v>
      </c>
      <c r="F194" s="14" t="s">
        <v>45</v>
      </c>
      <c r="G194" s="15" t="s">
        <v>804</v>
      </c>
      <c r="H194" s="16" t="s">
        <v>1086</v>
      </c>
      <c r="I194" s="16" t="s">
        <v>1086</v>
      </c>
      <c r="J194" s="17"/>
      <c r="K194" s="40" t="str">
        <f>"300,0"</f>
        <v>300,0</v>
      </c>
      <c r="L194" s="17" t="str">
        <f>"173,3400"</f>
        <v>173,3400</v>
      </c>
      <c r="M194" s="14" t="s">
        <v>158</v>
      </c>
    </row>
    <row r="195" spans="1:13">
      <c r="A195" s="17" t="s">
        <v>62</v>
      </c>
      <c r="B195" s="14" t="s">
        <v>4429</v>
      </c>
      <c r="C195" s="14" t="s">
        <v>4430</v>
      </c>
      <c r="D195" s="14" t="s">
        <v>1921</v>
      </c>
      <c r="E195" s="14" t="str">
        <f>"0,5704"</f>
        <v>0,5704</v>
      </c>
      <c r="F195" s="14" t="s">
        <v>125</v>
      </c>
      <c r="G195" s="16" t="s">
        <v>523</v>
      </c>
      <c r="H195" s="15" t="s">
        <v>523</v>
      </c>
      <c r="I195" s="15" t="s">
        <v>640</v>
      </c>
      <c r="J195" s="17"/>
      <c r="K195" s="40" t="str">
        <f>"270,0"</f>
        <v>270,0</v>
      </c>
      <c r="L195" s="17" t="str">
        <f>"154,0080"</f>
        <v>154,0080</v>
      </c>
      <c r="M195" s="14" t="s">
        <v>4431</v>
      </c>
    </row>
    <row r="196" spans="1:13">
      <c r="A196" s="17" t="s">
        <v>73</v>
      </c>
      <c r="B196" s="14" t="s">
        <v>784</v>
      </c>
      <c r="C196" s="14" t="s">
        <v>785</v>
      </c>
      <c r="D196" s="14" t="s">
        <v>786</v>
      </c>
      <c r="E196" s="14" t="str">
        <f>"0,5880"</f>
        <v>0,5880</v>
      </c>
      <c r="F196" s="14" t="s">
        <v>787</v>
      </c>
      <c r="G196" s="15" t="s">
        <v>422</v>
      </c>
      <c r="H196" s="15" t="s">
        <v>490</v>
      </c>
      <c r="I196" s="15" t="s">
        <v>523</v>
      </c>
      <c r="J196" s="17"/>
      <c r="K196" s="40" t="str">
        <f>"260,0"</f>
        <v>260,0</v>
      </c>
      <c r="L196" s="17" t="str">
        <f>"152,8800"</f>
        <v>152,8800</v>
      </c>
      <c r="M196" s="14" t="s">
        <v>661</v>
      </c>
    </row>
    <row r="197" spans="1:13">
      <c r="A197" s="17" t="s">
        <v>15</v>
      </c>
      <c r="B197" s="14" t="s">
        <v>2192</v>
      </c>
      <c r="C197" s="14" t="s">
        <v>2193</v>
      </c>
      <c r="D197" s="14" t="s">
        <v>2194</v>
      </c>
      <c r="E197" s="14" t="str">
        <f>"0,5795"</f>
        <v>0,5795</v>
      </c>
      <c r="F197" s="14" t="s">
        <v>1378</v>
      </c>
      <c r="G197" s="15" t="s">
        <v>384</v>
      </c>
      <c r="H197" s="15" t="s">
        <v>442</v>
      </c>
      <c r="I197" s="15" t="s">
        <v>459</v>
      </c>
      <c r="J197" s="17"/>
      <c r="K197" s="40" t="str">
        <f>"235,0"</f>
        <v>235,0</v>
      </c>
      <c r="L197" s="17" t="str">
        <f>"192,0173"</f>
        <v>192,0173</v>
      </c>
      <c r="M197" s="14" t="s">
        <v>158</v>
      </c>
    </row>
    <row r="198" spans="1:13">
      <c r="A198" s="20" t="s">
        <v>15</v>
      </c>
      <c r="B198" s="18" t="s">
        <v>4432</v>
      </c>
      <c r="C198" s="18" t="s">
        <v>4433</v>
      </c>
      <c r="D198" s="18" t="s">
        <v>4434</v>
      </c>
      <c r="E198" s="18" t="str">
        <f>"0,5831"</f>
        <v>0,5831</v>
      </c>
      <c r="F198" s="18" t="s">
        <v>1300</v>
      </c>
      <c r="G198" s="19" t="s">
        <v>442</v>
      </c>
      <c r="H198" s="22" t="s">
        <v>422</v>
      </c>
      <c r="I198" s="19" t="s">
        <v>422</v>
      </c>
      <c r="J198" s="20"/>
      <c r="K198" s="38" t="str">
        <f>"240,0"</f>
        <v>240,0</v>
      </c>
      <c r="L198" s="20" t="str">
        <f>"243,5026"</f>
        <v>243,5026</v>
      </c>
      <c r="M198" s="18" t="s">
        <v>158</v>
      </c>
    </row>
    <row r="199" spans="1:13">
      <c r="B199" s="5" t="s">
        <v>40</v>
      </c>
    </row>
    <row r="200" spans="1:13" ht="15.95">
      <c r="A200" s="102" t="s">
        <v>794</v>
      </c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</row>
    <row r="201" spans="1:13">
      <c r="A201" s="13" t="s">
        <v>15</v>
      </c>
      <c r="B201" s="11" t="s">
        <v>800</v>
      </c>
      <c r="C201" s="11" t="s">
        <v>801</v>
      </c>
      <c r="D201" s="11" t="s">
        <v>802</v>
      </c>
      <c r="E201" s="11" t="str">
        <f>"0,5662"</f>
        <v>0,5662</v>
      </c>
      <c r="F201" s="11" t="s">
        <v>690</v>
      </c>
      <c r="G201" s="12" t="s">
        <v>804</v>
      </c>
      <c r="H201" s="21" t="s">
        <v>805</v>
      </c>
      <c r="I201" s="12" t="s">
        <v>805</v>
      </c>
      <c r="J201" s="13"/>
      <c r="K201" s="37" t="str">
        <f>"322,5"</f>
        <v>322,5</v>
      </c>
      <c r="L201" s="13" t="str">
        <f>"182,5995"</f>
        <v>182,5995</v>
      </c>
      <c r="M201" s="11" t="s">
        <v>158</v>
      </c>
    </row>
    <row r="202" spans="1:13">
      <c r="A202" s="20" t="s">
        <v>15</v>
      </c>
      <c r="B202" s="18" t="s">
        <v>4435</v>
      </c>
      <c r="C202" s="18" t="s">
        <v>4436</v>
      </c>
      <c r="D202" s="18" t="s">
        <v>4049</v>
      </c>
      <c r="E202" s="18" t="str">
        <f>"0,5675"</f>
        <v>0,5675</v>
      </c>
      <c r="F202" s="18" t="s">
        <v>4437</v>
      </c>
      <c r="G202" s="19" t="s">
        <v>491</v>
      </c>
      <c r="H202" s="19" t="s">
        <v>754</v>
      </c>
      <c r="I202" s="19" t="s">
        <v>745</v>
      </c>
      <c r="J202" s="20"/>
      <c r="K202" s="38" t="str">
        <f>"285,0"</f>
        <v>285,0</v>
      </c>
      <c r="L202" s="20" t="str">
        <f>"171,4417"</f>
        <v>171,4417</v>
      </c>
      <c r="M202" s="18" t="s">
        <v>158</v>
      </c>
    </row>
    <row r="203" spans="1:13">
      <c r="B203" s="5" t="s">
        <v>40</v>
      </c>
    </row>
    <row r="204" spans="1:13" ht="15.95">
      <c r="A204" s="102" t="s">
        <v>818</v>
      </c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</row>
    <row r="205" spans="1:13">
      <c r="A205" s="13" t="s">
        <v>15</v>
      </c>
      <c r="B205" s="11" t="s">
        <v>825</v>
      </c>
      <c r="C205" s="11" t="s">
        <v>826</v>
      </c>
      <c r="D205" s="11" t="s">
        <v>827</v>
      </c>
      <c r="E205" s="11" t="str">
        <f>"0,5476"</f>
        <v>0,5476</v>
      </c>
      <c r="F205" s="11" t="s">
        <v>828</v>
      </c>
      <c r="G205" s="12" t="s">
        <v>523</v>
      </c>
      <c r="H205" s="12" t="s">
        <v>738</v>
      </c>
      <c r="I205" s="21" t="s">
        <v>822</v>
      </c>
      <c r="J205" s="13"/>
      <c r="K205" s="37" t="str">
        <f>"280,0"</f>
        <v>280,0</v>
      </c>
      <c r="L205" s="13" t="str">
        <f>"153,3280"</f>
        <v>153,3280</v>
      </c>
      <c r="M205" s="11" t="s">
        <v>829</v>
      </c>
    </row>
    <row r="206" spans="1:13">
      <c r="A206" s="20" t="s">
        <v>62</v>
      </c>
      <c r="B206" s="18" t="s">
        <v>2195</v>
      </c>
      <c r="C206" s="18" t="s">
        <v>2196</v>
      </c>
      <c r="D206" s="18" t="s">
        <v>2197</v>
      </c>
      <c r="E206" s="18" t="str">
        <f>"0,5525"</f>
        <v>0,5525</v>
      </c>
      <c r="F206" s="18" t="s">
        <v>66</v>
      </c>
      <c r="G206" s="19" t="s">
        <v>421</v>
      </c>
      <c r="H206" s="19" t="s">
        <v>627</v>
      </c>
      <c r="I206" s="22" t="s">
        <v>529</v>
      </c>
      <c r="J206" s="20"/>
      <c r="K206" s="38" t="str">
        <f>"245,0"</f>
        <v>245,0</v>
      </c>
      <c r="L206" s="20" t="str">
        <f>"135,3625"</f>
        <v>135,3625</v>
      </c>
      <c r="M206" s="18" t="s">
        <v>2198</v>
      </c>
    </row>
    <row r="207" spans="1:13">
      <c r="B207" s="5" t="s">
        <v>40</v>
      </c>
    </row>
    <row r="208" spans="1:13" ht="18">
      <c r="B208" s="23" t="s">
        <v>830</v>
      </c>
      <c r="C208" s="23"/>
    </row>
    <row r="209" spans="2:6" ht="15.95">
      <c r="B209" s="95" t="s">
        <v>831</v>
      </c>
      <c r="C209" s="95"/>
    </row>
    <row r="210" spans="2:6" ht="14.1">
      <c r="B210" s="24"/>
      <c r="C210" s="24" t="s">
        <v>832</v>
      </c>
    </row>
    <row r="211" spans="2:6" ht="14.1">
      <c r="B211" s="4" t="s">
        <v>833</v>
      </c>
      <c r="C211" s="4" t="s">
        <v>834</v>
      </c>
      <c r="D211" s="4" t="s">
        <v>867</v>
      </c>
      <c r="E211" s="4" t="s">
        <v>2294</v>
      </c>
      <c r="F211" s="4" t="s">
        <v>837</v>
      </c>
    </row>
    <row r="212" spans="2:6">
      <c r="B212" s="5" t="s">
        <v>1366</v>
      </c>
      <c r="C212" s="5" t="s">
        <v>832</v>
      </c>
      <c r="D212" s="6" t="s">
        <v>1563</v>
      </c>
      <c r="E212" s="6" t="s">
        <v>151</v>
      </c>
      <c r="F212" s="6" t="s">
        <v>4438</v>
      </c>
    </row>
    <row r="213" spans="2:6">
      <c r="B213" s="5" t="s">
        <v>148</v>
      </c>
      <c r="C213" s="5" t="s">
        <v>832</v>
      </c>
      <c r="D213" s="6" t="s">
        <v>841</v>
      </c>
      <c r="E213" s="6" t="s">
        <v>152</v>
      </c>
      <c r="F213" s="6" t="s">
        <v>4439</v>
      </c>
    </row>
    <row r="214" spans="2:6">
      <c r="B214" s="5" t="s">
        <v>4222</v>
      </c>
      <c r="C214" s="5" t="s">
        <v>832</v>
      </c>
      <c r="D214" s="6" t="s">
        <v>1563</v>
      </c>
      <c r="E214" s="6" t="s">
        <v>59</v>
      </c>
      <c r="F214" s="6" t="s">
        <v>4440</v>
      </c>
    </row>
    <row r="216" spans="2:6" ht="14.1">
      <c r="B216" s="24"/>
      <c r="C216" s="24" t="s">
        <v>847</v>
      </c>
    </row>
    <row r="217" spans="2:6" ht="14.1">
      <c r="B217" s="4" t="s">
        <v>833</v>
      </c>
      <c r="C217" s="4" t="s">
        <v>834</v>
      </c>
      <c r="D217" s="4" t="s">
        <v>835</v>
      </c>
      <c r="E217" s="4" t="s">
        <v>2294</v>
      </c>
      <c r="F217" s="4" t="s">
        <v>837</v>
      </c>
    </row>
    <row r="218" spans="2:6">
      <c r="B218" s="5" t="s">
        <v>148</v>
      </c>
      <c r="C218" s="5" t="s">
        <v>848</v>
      </c>
      <c r="D218" s="6" t="s">
        <v>841</v>
      </c>
      <c r="E218" s="6" t="s">
        <v>152</v>
      </c>
      <c r="F218" s="6" t="s">
        <v>4441</v>
      </c>
    </row>
    <row r="219" spans="2:6">
      <c r="B219" s="5" t="s">
        <v>4235</v>
      </c>
      <c r="C219" s="5" t="s">
        <v>848</v>
      </c>
      <c r="D219" s="6" t="s">
        <v>841</v>
      </c>
      <c r="E219" s="6" t="s">
        <v>60</v>
      </c>
      <c r="F219" s="6" t="s">
        <v>4442</v>
      </c>
    </row>
    <row r="220" spans="2:6">
      <c r="B220" s="5" t="s">
        <v>1369</v>
      </c>
      <c r="C220" s="5" t="s">
        <v>848</v>
      </c>
      <c r="D220" s="6" t="s">
        <v>1563</v>
      </c>
      <c r="E220" s="6" t="s">
        <v>209</v>
      </c>
      <c r="F220" s="6" t="s">
        <v>4443</v>
      </c>
    </row>
    <row r="222" spans="2:6" ht="15.95">
      <c r="B222" s="95" t="s">
        <v>855</v>
      </c>
      <c r="C222" s="95"/>
    </row>
    <row r="223" spans="2:6" ht="14.1">
      <c r="B223" s="24"/>
      <c r="C223" s="24" t="s">
        <v>856</v>
      </c>
    </row>
    <row r="224" spans="2:6" ht="14.1">
      <c r="B224" s="4" t="s">
        <v>833</v>
      </c>
      <c r="C224" s="4" t="s">
        <v>834</v>
      </c>
      <c r="D224" s="4" t="s">
        <v>835</v>
      </c>
      <c r="E224" s="4" t="s">
        <v>2294</v>
      </c>
      <c r="F224" s="4" t="s">
        <v>837</v>
      </c>
    </row>
    <row r="225" spans="2:6">
      <c r="B225" s="5" t="s">
        <v>4278</v>
      </c>
      <c r="C225" s="5" t="s">
        <v>3010</v>
      </c>
      <c r="D225" s="6" t="s">
        <v>850</v>
      </c>
      <c r="E225" s="6" t="s">
        <v>351</v>
      </c>
      <c r="F225" s="6" t="s">
        <v>4444</v>
      </c>
    </row>
    <row r="226" spans="2:6">
      <c r="B226" s="5" t="s">
        <v>604</v>
      </c>
      <c r="C226" s="5" t="s">
        <v>857</v>
      </c>
      <c r="D226" s="6" t="s">
        <v>858</v>
      </c>
      <c r="E226" s="6" t="s">
        <v>421</v>
      </c>
      <c r="F226" s="6" t="s">
        <v>4445</v>
      </c>
    </row>
    <row r="227" spans="2:6">
      <c r="B227" s="5" t="s">
        <v>4378</v>
      </c>
      <c r="C227" s="5" t="s">
        <v>857</v>
      </c>
      <c r="D227" s="6" t="s">
        <v>888</v>
      </c>
      <c r="E227" s="6" t="s">
        <v>422</v>
      </c>
      <c r="F227" s="6" t="s">
        <v>4446</v>
      </c>
    </row>
    <row r="229" spans="2:6" ht="14.1">
      <c r="B229" s="24"/>
      <c r="C229" s="24" t="s">
        <v>866</v>
      </c>
    </row>
    <row r="230" spans="2:6" ht="14.1">
      <c r="B230" s="4" t="s">
        <v>833</v>
      </c>
      <c r="C230" s="4" t="s">
        <v>834</v>
      </c>
      <c r="D230" s="4" t="s">
        <v>835</v>
      </c>
      <c r="E230" s="4" t="s">
        <v>2294</v>
      </c>
      <c r="F230" s="4" t="s">
        <v>837</v>
      </c>
    </row>
    <row r="231" spans="2:6">
      <c r="B231" s="5" t="s">
        <v>4384</v>
      </c>
      <c r="C231" s="5" t="s">
        <v>866</v>
      </c>
      <c r="D231" s="6" t="s">
        <v>888</v>
      </c>
      <c r="E231" s="6" t="s">
        <v>745</v>
      </c>
      <c r="F231" s="6" t="s">
        <v>4447</v>
      </c>
    </row>
    <row r="232" spans="2:6">
      <c r="B232" s="5" t="s">
        <v>4324</v>
      </c>
      <c r="C232" s="5" t="s">
        <v>866</v>
      </c>
      <c r="D232" s="6" t="s">
        <v>868</v>
      </c>
      <c r="E232" s="6" t="s">
        <v>490</v>
      </c>
      <c r="F232" s="6" t="s">
        <v>4448</v>
      </c>
    </row>
    <row r="233" spans="2:6">
      <c r="B233" s="5" t="s">
        <v>4326</v>
      </c>
      <c r="C233" s="5" t="s">
        <v>866</v>
      </c>
      <c r="D233" s="6" t="s">
        <v>868</v>
      </c>
      <c r="E233" s="6" t="s">
        <v>459</v>
      </c>
      <c r="F233" s="6" t="s">
        <v>4449</v>
      </c>
    </row>
    <row r="235" spans="2:6" ht="14.1">
      <c r="B235" s="24"/>
      <c r="C235" s="24" t="s">
        <v>832</v>
      </c>
    </row>
    <row r="236" spans="2:6" ht="14.1">
      <c r="B236" s="4" t="s">
        <v>833</v>
      </c>
      <c r="C236" s="4" t="s">
        <v>834</v>
      </c>
      <c r="D236" s="4" t="s">
        <v>835</v>
      </c>
      <c r="E236" s="4" t="s">
        <v>2294</v>
      </c>
      <c r="F236" s="4" t="s">
        <v>837</v>
      </c>
    </row>
    <row r="237" spans="2:6">
      <c r="B237" s="5" t="s">
        <v>2414</v>
      </c>
      <c r="C237" s="5" t="s">
        <v>832</v>
      </c>
      <c r="D237" s="6" t="s">
        <v>850</v>
      </c>
      <c r="E237" s="6" t="s">
        <v>490</v>
      </c>
      <c r="F237" s="6" t="s">
        <v>4450</v>
      </c>
    </row>
    <row r="238" spans="2:6">
      <c r="B238" s="5" t="s">
        <v>1519</v>
      </c>
      <c r="C238" s="5" t="s">
        <v>832</v>
      </c>
      <c r="D238" s="6" t="s">
        <v>888</v>
      </c>
      <c r="E238" s="6" t="s">
        <v>842</v>
      </c>
      <c r="F238" s="6" t="s">
        <v>4451</v>
      </c>
    </row>
    <row r="239" spans="2:6">
      <c r="B239" s="5" t="s">
        <v>1419</v>
      </c>
      <c r="C239" s="5" t="s">
        <v>832</v>
      </c>
      <c r="D239" s="6" t="s">
        <v>861</v>
      </c>
      <c r="E239" s="6" t="s">
        <v>803</v>
      </c>
      <c r="F239" s="6" t="s">
        <v>4452</v>
      </c>
    </row>
    <row r="241" spans="2:6" ht="14.1">
      <c r="B241" s="24"/>
      <c r="C241" s="24" t="s">
        <v>847</v>
      </c>
    </row>
    <row r="242" spans="2:6" ht="14.1">
      <c r="B242" s="4" t="s">
        <v>833</v>
      </c>
      <c r="C242" s="4" t="s">
        <v>834</v>
      </c>
      <c r="D242" s="4" t="s">
        <v>835</v>
      </c>
      <c r="E242" s="4" t="s">
        <v>2294</v>
      </c>
      <c r="F242" s="4" t="s">
        <v>837</v>
      </c>
    </row>
    <row r="243" spans="2:6">
      <c r="B243" s="5" t="s">
        <v>4432</v>
      </c>
      <c r="C243" s="5" t="s">
        <v>881</v>
      </c>
      <c r="D243" s="6" t="s">
        <v>1356</v>
      </c>
      <c r="E243" s="6" t="s">
        <v>422</v>
      </c>
      <c r="F243" s="6" t="s">
        <v>4453</v>
      </c>
    </row>
    <row r="244" spans="2:6">
      <c r="B244" s="5" t="s">
        <v>4294</v>
      </c>
      <c r="C244" s="5" t="s">
        <v>887</v>
      </c>
      <c r="D244" s="6" t="s">
        <v>844</v>
      </c>
      <c r="E244" s="6" t="s">
        <v>368</v>
      </c>
      <c r="F244" s="6" t="s">
        <v>4454</v>
      </c>
    </row>
    <row r="245" spans="2:6">
      <c r="B245" s="5" t="s">
        <v>667</v>
      </c>
      <c r="C245" s="5" t="s">
        <v>881</v>
      </c>
      <c r="D245" s="6" t="s">
        <v>858</v>
      </c>
      <c r="E245" s="6" t="s">
        <v>368</v>
      </c>
      <c r="F245" s="6" t="s">
        <v>4455</v>
      </c>
    </row>
    <row r="246" spans="2:6">
      <c r="B246" s="5" t="s">
        <v>40</v>
      </c>
    </row>
  </sheetData>
  <mergeCells count="29">
    <mergeCell ref="A191:L191"/>
    <mergeCell ref="A200:L200"/>
    <mergeCell ref="A204:L204"/>
    <mergeCell ref="B3:B4"/>
    <mergeCell ref="A75:L75"/>
    <mergeCell ref="A84:L84"/>
    <mergeCell ref="A106:L106"/>
    <mergeCell ref="A130:L130"/>
    <mergeCell ref="A150:L150"/>
    <mergeCell ref="A173:L173"/>
    <mergeCell ref="A36:L36"/>
    <mergeCell ref="A44:L44"/>
    <mergeCell ref="A54:L54"/>
    <mergeCell ref="A60:L60"/>
    <mergeCell ref="A63:L63"/>
    <mergeCell ref="A68:L68"/>
    <mergeCell ref="A24:L2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12:L1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192"/>
  <sheetViews>
    <sheetView workbookViewId="0">
      <selection sqref="A1:M2"/>
    </sheetView>
  </sheetViews>
  <sheetFormatPr defaultColWidth="9.140625" defaultRowHeight="12.95"/>
  <cols>
    <col min="1" max="1" width="7.42578125" style="6" bestFit="1" customWidth="1"/>
    <col min="2" max="2" width="29.7109375" style="5" bestFit="1" customWidth="1"/>
    <col min="3" max="3" width="27.85546875" style="5" customWidth="1"/>
    <col min="4" max="4" width="21.42578125" style="5" bestFit="1" customWidth="1"/>
    <col min="5" max="5" width="10.42578125" style="5" bestFit="1" customWidth="1"/>
    <col min="6" max="6" width="23.85546875" style="5" bestFit="1" customWidth="1"/>
    <col min="7" max="10" width="5.42578125" style="6" bestFit="1" customWidth="1"/>
    <col min="11" max="11" width="11.28515625" style="39" bestFit="1" customWidth="1"/>
    <col min="12" max="12" width="8.42578125" style="6" bestFit="1" customWidth="1"/>
    <col min="13" max="13" width="25.140625" style="5" bestFit="1" customWidth="1"/>
    <col min="14" max="16384" width="9.140625" style="3"/>
  </cols>
  <sheetData>
    <row r="1" spans="1:13" s="2" customFormat="1" ht="29.1" customHeight="1">
      <c r="A1" s="103" t="s">
        <v>4456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5</v>
      </c>
      <c r="F3" s="114" t="s">
        <v>6</v>
      </c>
      <c r="G3" s="114" t="s">
        <v>9</v>
      </c>
      <c r="H3" s="114"/>
      <c r="I3" s="114"/>
      <c r="J3" s="114"/>
      <c r="K3" s="117" t="s">
        <v>2294</v>
      </c>
      <c r="L3" s="114" t="s">
        <v>11</v>
      </c>
      <c r="M3" s="99" t="s">
        <v>12</v>
      </c>
    </row>
    <row r="4" spans="1:13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118"/>
      <c r="L4" s="113"/>
      <c r="M4" s="100"/>
    </row>
    <row r="5" spans="1:13" ht="15.95">
      <c r="A5" s="101" t="s">
        <v>98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3">
      <c r="A6" s="10" t="s">
        <v>15</v>
      </c>
      <c r="B6" s="7" t="s">
        <v>897</v>
      </c>
      <c r="C6" s="7" t="s">
        <v>898</v>
      </c>
      <c r="D6" s="7" t="s">
        <v>899</v>
      </c>
      <c r="E6" s="7" t="str">
        <f>"1,2654"</f>
        <v>1,2654</v>
      </c>
      <c r="F6" s="7" t="s">
        <v>900</v>
      </c>
      <c r="G6" s="8" t="s">
        <v>49</v>
      </c>
      <c r="H6" s="8" t="s">
        <v>56</v>
      </c>
      <c r="I6" s="8" t="s">
        <v>70</v>
      </c>
      <c r="J6" s="10"/>
      <c r="K6" s="41" t="str">
        <f>"120,0"</f>
        <v>120,0</v>
      </c>
      <c r="L6" s="10" t="str">
        <f>"151,8480"</f>
        <v>151,8480</v>
      </c>
      <c r="M6" s="7" t="s">
        <v>901</v>
      </c>
    </row>
    <row r="7" spans="1:13">
      <c r="B7" s="5" t="s">
        <v>40</v>
      </c>
    </row>
    <row r="8" spans="1:13" ht="15.95">
      <c r="A8" s="102" t="s">
        <v>141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3">
      <c r="A9" s="13" t="s">
        <v>15</v>
      </c>
      <c r="B9" s="11" t="s">
        <v>4457</v>
      </c>
      <c r="C9" s="11" t="s">
        <v>4458</v>
      </c>
      <c r="D9" s="11" t="s">
        <v>2412</v>
      </c>
      <c r="E9" s="11" t="str">
        <f>"1,2159"</f>
        <v>1,2159</v>
      </c>
      <c r="F9" s="11" t="s">
        <v>1892</v>
      </c>
      <c r="G9" s="12" t="s">
        <v>151</v>
      </c>
      <c r="H9" s="12" t="s">
        <v>550</v>
      </c>
      <c r="I9" s="12" t="s">
        <v>452</v>
      </c>
      <c r="J9" s="21" t="s">
        <v>4459</v>
      </c>
      <c r="K9" s="37" t="str">
        <f>"177,5"</f>
        <v>177,5</v>
      </c>
      <c r="L9" s="13" t="str">
        <f>"215,8222"</f>
        <v>215,8222</v>
      </c>
      <c r="M9" s="11" t="s">
        <v>4460</v>
      </c>
    </row>
    <row r="10" spans="1:13">
      <c r="A10" s="20" t="s">
        <v>92</v>
      </c>
      <c r="B10" s="18" t="s">
        <v>4461</v>
      </c>
      <c r="C10" s="18" t="s">
        <v>4462</v>
      </c>
      <c r="D10" s="18" t="s">
        <v>150</v>
      </c>
      <c r="E10" s="18" t="str">
        <f>"1,1766"</f>
        <v>1,1766</v>
      </c>
      <c r="F10" s="18" t="s">
        <v>4463</v>
      </c>
      <c r="G10" s="22" t="s">
        <v>209</v>
      </c>
      <c r="H10" s="22" t="s">
        <v>59</v>
      </c>
      <c r="I10" s="22" t="s">
        <v>59</v>
      </c>
      <c r="J10" s="20"/>
      <c r="K10" s="38">
        <v>0</v>
      </c>
      <c r="L10" s="20" t="str">
        <f>"0,0000"</f>
        <v>0,0000</v>
      </c>
      <c r="M10" s="18" t="s">
        <v>4464</v>
      </c>
    </row>
    <row r="11" spans="1:13">
      <c r="B11" s="5" t="s">
        <v>40</v>
      </c>
    </row>
    <row r="12" spans="1:13" ht="15.95">
      <c r="A12" s="102" t="s">
        <v>195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1:13">
      <c r="A13" s="13" t="s">
        <v>15</v>
      </c>
      <c r="B13" s="11" t="s">
        <v>4465</v>
      </c>
      <c r="C13" s="11" t="s">
        <v>4466</v>
      </c>
      <c r="D13" s="11" t="s">
        <v>960</v>
      </c>
      <c r="E13" s="11" t="str">
        <f>"1,1325"</f>
        <v>1,1325</v>
      </c>
      <c r="F13" s="11" t="s">
        <v>1105</v>
      </c>
      <c r="G13" s="12" t="s">
        <v>550</v>
      </c>
      <c r="H13" s="12" t="s">
        <v>398</v>
      </c>
      <c r="I13" s="21" t="s">
        <v>368</v>
      </c>
      <c r="J13" s="13"/>
      <c r="K13" s="37" t="str">
        <f>"180,0"</f>
        <v>180,0</v>
      </c>
      <c r="L13" s="13" t="str">
        <f>"203,8500"</f>
        <v>203,8500</v>
      </c>
      <c r="M13" s="11" t="s">
        <v>1601</v>
      </c>
    </row>
    <row r="14" spans="1:13">
      <c r="A14" s="20" t="s">
        <v>62</v>
      </c>
      <c r="B14" s="18" t="s">
        <v>4467</v>
      </c>
      <c r="C14" s="18" t="s">
        <v>4468</v>
      </c>
      <c r="D14" s="18" t="s">
        <v>198</v>
      </c>
      <c r="E14" s="18" t="str">
        <f>"1,1236"</f>
        <v>1,1236</v>
      </c>
      <c r="F14" s="18" t="s">
        <v>91</v>
      </c>
      <c r="G14" s="19" t="s">
        <v>248</v>
      </c>
      <c r="H14" s="19" t="s">
        <v>398</v>
      </c>
      <c r="I14" s="22" t="s">
        <v>368</v>
      </c>
      <c r="J14" s="20"/>
      <c r="K14" s="38" t="str">
        <f>"180,0"</f>
        <v>180,0</v>
      </c>
      <c r="L14" s="20" t="str">
        <f>"202,2480"</f>
        <v>202,2480</v>
      </c>
      <c r="M14" s="18" t="s">
        <v>158</v>
      </c>
    </row>
    <row r="15" spans="1:13">
      <c r="B15" s="5" t="s">
        <v>40</v>
      </c>
    </row>
    <row r="16" spans="1:13" ht="15.95">
      <c r="A16" s="102" t="s">
        <v>241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1:13">
      <c r="A17" s="13" t="s">
        <v>15</v>
      </c>
      <c r="B17" s="11" t="s">
        <v>4469</v>
      </c>
      <c r="C17" s="11" t="s">
        <v>4470</v>
      </c>
      <c r="D17" s="11" t="s">
        <v>970</v>
      </c>
      <c r="E17" s="11" t="str">
        <f>"1,0206"</f>
        <v>1,0206</v>
      </c>
      <c r="F17" s="11" t="s">
        <v>2822</v>
      </c>
      <c r="G17" s="21" t="s">
        <v>60</v>
      </c>
      <c r="H17" s="12" t="s">
        <v>60</v>
      </c>
      <c r="I17" s="12" t="s">
        <v>151</v>
      </c>
      <c r="J17" s="13"/>
      <c r="K17" s="37" t="str">
        <f>"160,0"</f>
        <v>160,0</v>
      </c>
      <c r="L17" s="13" t="str">
        <f>"163,2960"</f>
        <v>163,2960</v>
      </c>
      <c r="M17" s="11" t="s">
        <v>4471</v>
      </c>
    </row>
    <row r="18" spans="1:13">
      <c r="A18" s="17" t="s">
        <v>62</v>
      </c>
      <c r="B18" s="14" t="s">
        <v>4472</v>
      </c>
      <c r="C18" s="14" t="s">
        <v>4473</v>
      </c>
      <c r="D18" s="14" t="s">
        <v>2366</v>
      </c>
      <c r="E18" s="14" t="str">
        <f>"1,0676"</f>
        <v>1,0676</v>
      </c>
      <c r="F18" s="14" t="s">
        <v>91</v>
      </c>
      <c r="G18" s="15" t="s">
        <v>59</v>
      </c>
      <c r="H18" s="15" t="s">
        <v>205</v>
      </c>
      <c r="I18" s="15" t="s">
        <v>254</v>
      </c>
      <c r="J18" s="17"/>
      <c r="K18" s="40" t="str">
        <f>"157,5"</f>
        <v>157,5</v>
      </c>
      <c r="L18" s="17" t="str">
        <f>"168,1470"</f>
        <v>168,1470</v>
      </c>
      <c r="M18" s="14" t="s">
        <v>158</v>
      </c>
    </row>
    <row r="19" spans="1:13">
      <c r="A19" s="17" t="s">
        <v>92</v>
      </c>
      <c r="B19" s="14" t="s">
        <v>4474</v>
      </c>
      <c r="C19" s="14" t="s">
        <v>4475</v>
      </c>
      <c r="D19" s="14" t="s">
        <v>373</v>
      </c>
      <c r="E19" s="14" t="str">
        <f>"1,0250"</f>
        <v>1,0250</v>
      </c>
      <c r="F19" s="14" t="s">
        <v>2418</v>
      </c>
      <c r="G19" s="16" t="s">
        <v>209</v>
      </c>
      <c r="H19" s="16" t="s">
        <v>59</v>
      </c>
      <c r="I19" s="16" t="s">
        <v>59</v>
      </c>
      <c r="J19" s="17"/>
      <c r="K19" s="40">
        <v>0</v>
      </c>
      <c r="L19" s="17" t="str">
        <f>"0,0000"</f>
        <v>0,0000</v>
      </c>
      <c r="M19" s="14" t="s">
        <v>158</v>
      </c>
    </row>
    <row r="20" spans="1:13">
      <c r="A20" s="20" t="s">
        <v>15</v>
      </c>
      <c r="B20" s="18" t="s">
        <v>923</v>
      </c>
      <c r="C20" s="18" t="s">
        <v>924</v>
      </c>
      <c r="D20" s="18" t="s">
        <v>925</v>
      </c>
      <c r="E20" s="18" t="str">
        <f>"1,0294"</f>
        <v>1,0294</v>
      </c>
      <c r="F20" s="18" t="s">
        <v>594</v>
      </c>
      <c r="G20" s="19" t="s">
        <v>56</v>
      </c>
      <c r="H20" s="19" t="s">
        <v>145</v>
      </c>
      <c r="I20" s="22" t="s">
        <v>209</v>
      </c>
      <c r="J20" s="20"/>
      <c r="K20" s="38" t="str">
        <f>"125,0"</f>
        <v>125,0</v>
      </c>
      <c r="L20" s="20" t="str">
        <f>"143,3439"</f>
        <v>143,3439</v>
      </c>
      <c r="M20" s="18" t="s">
        <v>926</v>
      </c>
    </row>
    <row r="21" spans="1:13">
      <c r="B21" s="5" t="s">
        <v>40</v>
      </c>
    </row>
    <row r="22" spans="1:13" ht="15.95">
      <c r="A22" s="102" t="s">
        <v>301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1:13">
      <c r="A23" s="13" t="s">
        <v>15</v>
      </c>
      <c r="B23" s="11" t="s">
        <v>4476</v>
      </c>
      <c r="C23" s="11" t="s">
        <v>4477</v>
      </c>
      <c r="D23" s="11" t="s">
        <v>4478</v>
      </c>
      <c r="E23" s="11" t="str">
        <f>"0,9797"</f>
        <v>0,9797</v>
      </c>
      <c r="F23" s="11" t="s">
        <v>4479</v>
      </c>
      <c r="G23" s="12" t="s">
        <v>49</v>
      </c>
      <c r="H23" s="12" t="s">
        <v>56</v>
      </c>
      <c r="I23" s="21" t="s">
        <v>71</v>
      </c>
      <c r="J23" s="13"/>
      <c r="K23" s="37" t="str">
        <f>"115,0"</f>
        <v>115,0</v>
      </c>
      <c r="L23" s="13" t="str">
        <f>"112,6655"</f>
        <v>112,6655</v>
      </c>
      <c r="M23" s="11" t="s">
        <v>4480</v>
      </c>
    </row>
    <row r="24" spans="1:13">
      <c r="A24" s="20" t="s">
        <v>92</v>
      </c>
      <c r="B24" s="18" t="s">
        <v>2218</v>
      </c>
      <c r="C24" s="18" t="s">
        <v>2219</v>
      </c>
      <c r="D24" s="18" t="s">
        <v>2220</v>
      </c>
      <c r="E24" s="18" t="str">
        <f>"0,9751"</f>
        <v>0,9751</v>
      </c>
      <c r="F24" s="18" t="s">
        <v>2221</v>
      </c>
      <c r="G24" s="22" t="s">
        <v>385</v>
      </c>
      <c r="H24" s="22" t="s">
        <v>507</v>
      </c>
      <c r="I24" s="22" t="s">
        <v>507</v>
      </c>
      <c r="J24" s="20"/>
      <c r="K24" s="38">
        <v>0</v>
      </c>
      <c r="L24" s="20" t="str">
        <f>"0,0000"</f>
        <v>0,0000</v>
      </c>
      <c r="M24" s="18" t="s">
        <v>2222</v>
      </c>
    </row>
    <row r="25" spans="1:13">
      <c r="B25" s="5" t="s">
        <v>40</v>
      </c>
    </row>
    <row r="26" spans="1:13" ht="15.95">
      <c r="A26" s="102" t="s">
        <v>598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</row>
    <row r="27" spans="1:13">
      <c r="A27" s="10" t="s">
        <v>15</v>
      </c>
      <c r="B27" s="7" t="s">
        <v>4481</v>
      </c>
      <c r="C27" s="7" t="s">
        <v>4482</v>
      </c>
      <c r="D27" s="7" t="s">
        <v>2681</v>
      </c>
      <c r="E27" s="7" t="str">
        <f>"0,8698"</f>
        <v>0,8698</v>
      </c>
      <c r="F27" s="7" t="s">
        <v>728</v>
      </c>
      <c r="G27" s="8" t="s">
        <v>442</v>
      </c>
      <c r="H27" s="8" t="s">
        <v>459</v>
      </c>
      <c r="I27" s="9" t="s">
        <v>422</v>
      </c>
      <c r="J27" s="10"/>
      <c r="K27" s="41" t="str">
        <f>"235,0"</f>
        <v>235,0</v>
      </c>
      <c r="L27" s="10" t="str">
        <f>"204,4030"</f>
        <v>204,4030</v>
      </c>
      <c r="M27" s="7" t="s">
        <v>158</v>
      </c>
    </row>
    <row r="28" spans="1:13">
      <c r="B28" s="5" t="s">
        <v>40</v>
      </c>
    </row>
    <row r="29" spans="1:13" ht="15.95">
      <c r="A29" s="102" t="s">
        <v>4483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</row>
    <row r="30" spans="1:13">
      <c r="A30" s="13" t="s">
        <v>15</v>
      </c>
      <c r="B30" s="11" t="s">
        <v>4484</v>
      </c>
      <c r="C30" s="11" t="s">
        <v>4485</v>
      </c>
      <c r="D30" s="11" t="s">
        <v>4486</v>
      </c>
      <c r="E30" s="11" t="str">
        <f>"0,8565"</f>
        <v>0,8565</v>
      </c>
      <c r="F30" s="11" t="s">
        <v>513</v>
      </c>
      <c r="G30" s="12" t="s">
        <v>59</v>
      </c>
      <c r="H30" s="12" t="s">
        <v>205</v>
      </c>
      <c r="I30" s="21" t="s">
        <v>151</v>
      </c>
      <c r="J30" s="13"/>
      <c r="K30" s="37" t="str">
        <f>"155,0"</f>
        <v>155,0</v>
      </c>
      <c r="L30" s="13" t="str">
        <f>"132,7575"</f>
        <v>132,7575</v>
      </c>
      <c r="M30" s="11" t="s">
        <v>3384</v>
      </c>
    </row>
    <row r="31" spans="1:13">
      <c r="A31" s="20" t="s">
        <v>15</v>
      </c>
      <c r="B31" s="18" t="s">
        <v>4484</v>
      </c>
      <c r="C31" s="18" t="s">
        <v>3875</v>
      </c>
      <c r="D31" s="18" t="s">
        <v>4486</v>
      </c>
      <c r="E31" s="18" t="str">
        <f>"0,8565"</f>
        <v>0,8565</v>
      </c>
      <c r="F31" s="18" t="s">
        <v>513</v>
      </c>
      <c r="G31" s="19" t="s">
        <v>59</v>
      </c>
      <c r="H31" s="19" t="s">
        <v>205</v>
      </c>
      <c r="I31" s="22" t="s">
        <v>151</v>
      </c>
      <c r="J31" s="20"/>
      <c r="K31" s="38" t="str">
        <f>"155,0"</f>
        <v>155,0</v>
      </c>
      <c r="L31" s="20" t="str">
        <f>"138,5988"</f>
        <v>138,5988</v>
      </c>
      <c r="M31" s="18" t="s">
        <v>3384</v>
      </c>
    </row>
    <row r="32" spans="1:13">
      <c r="B32" s="5" t="s">
        <v>40</v>
      </c>
    </row>
    <row r="33" spans="1:13" ht="15.95">
      <c r="A33" s="102" t="s">
        <v>195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1:13">
      <c r="A34" s="13" t="s">
        <v>15</v>
      </c>
      <c r="B34" s="11" t="s">
        <v>1621</v>
      </c>
      <c r="C34" s="11" t="s">
        <v>1622</v>
      </c>
      <c r="D34" s="11" t="s">
        <v>1623</v>
      </c>
      <c r="E34" s="11" t="str">
        <f>"0,8542"</f>
        <v>0,8542</v>
      </c>
      <c r="F34" s="11" t="s">
        <v>1624</v>
      </c>
      <c r="G34" s="12" t="s">
        <v>60</v>
      </c>
      <c r="H34" s="12" t="s">
        <v>254</v>
      </c>
      <c r="I34" s="21" t="s">
        <v>1625</v>
      </c>
      <c r="J34" s="13"/>
      <c r="K34" s="37" t="str">
        <f>"157,5"</f>
        <v>157,5</v>
      </c>
      <c r="L34" s="13" t="str">
        <f>"134,5365"</f>
        <v>134,5365</v>
      </c>
      <c r="M34" s="11" t="s">
        <v>1626</v>
      </c>
    </row>
    <row r="35" spans="1:13">
      <c r="A35" s="20" t="s">
        <v>62</v>
      </c>
      <c r="B35" s="18" t="s">
        <v>1627</v>
      </c>
      <c r="C35" s="18" t="s">
        <v>1628</v>
      </c>
      <c r="D35" s="18" t="s">
        <v>960</v>
      </c>
      <c r="E35" s="18" t="str">
        <f>"0,8689"</f>
        <v>0,8689</v>
      </c>
      <c r="F35" s="18" t="s">
        <v>594</v>
      </c>
      <c r="G35" s="19" t="s">
        <v>103</v>
      </c>
      <c r="H35" s="19" t="s">
        <v>25</v>
      </c>
      <c r="I35" s="19" t="s">
        <v>26</v>
      </c>
      <c r="J35" s="20"/>
      <c r="K35" s="38" t="str">
        <f>"60,0"</f>
        <v>60,0</v>
      </c>
      <c r="L35" s="20" t="str">
        <f>"52,1340"</f>
        <v>52,1340</v>
      </c>
      <c r="M35" s="18" t="s">
        <v>1629</v>
      </c>
    </row>
    <row r="36" spans="1:13">
      <c r="B36" s="5" t="s">
        <v>40</v>
      </c>
    </row>
    <row r="37" spans="1:13" ht="15.95">
      <c r="A37" s="102" t="s">
        <v>241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</row>
    <row r="38" spans="1:13">
      <c r="A38" s="13" t="s">
        <v>15</v>
      </c>
      <c r="B38" s="11" t="s">
        <v>4487</v>
      </c>
      <c r="C38" s="11" t="s">
        <v>4488</v>
      </c>
      <c r="D38" s="11" t="s">
        <v>4489</v>
      </c>
      <c r="E38" s="11" t="str">
        <f>"0,8235"</f>
        <v>0,8235</v>
      </c>
      <c r="F38" s="11" t="s">
        <v>1694</v>
      </c>
      <c r="G38" s="12" t="s">
        <v>69</v>
      </c>
      <c r="H38" s="12" t="s">
        <v>70</v>
      </c>
      <c r="I38" s="12" t="s">
        <v>71</v>
      </c>
      <c r="J38" s="13"/>
      <c r="K38" s="37" t="str">
        <f>"130,0"</f>
        <v>130,0</v>
      </c>
      <c r="L38" s="13" t="str">
        <f>"107,0550"</f>
        <v>107,0550</v>
      </c>
      <c r="M38" s="11" t="s">
        <v>158</v>
      </c>
    </row>
    <row r="39" spans="1:13">
      <c r="A39" s="17" t="s">
        <v>15</v>
      </c>
      <c r="B39" s="14" t="s">
        <v>4490</v>
      </c>
      <c r="C39" s="14" t="s">
        <v>4491</v>
      </c>
      <c r="D39" s="14" t="s">
        <v>975</v>
      </c>
      <c r="E39" s="14" t="str">
        <f>"0,7729"</f>
        <v>0,7729</v>
      </c>
      <c r="F39" s="14" t="s">
        <v>1624</v>
      </c>
      <c r="G39" s="15" t="s">
        <v>420</v>
      </c>
      <c r="H39" s="15" t="s">
        <v>508</v>
      </c>
      <c r="I39" s="16" t="s">
        <v>682</v>
      </c>
      <c r="J39" s="17"/>
      <c r="K39" s="40" t="str">
        <f>"232,5"</f>
        <v>232,5</v>
      </c>
      <c r="L39" s="17" t="str">
        <f>"179,6992"</f>
        <v>179,6992</v>
      </c>
      <c r="M39" s="14" t="s">
        <v>1626</v>
      </c>
    </row>
    <row r="40" spans="1:13">
      <c r="A40" s="17" t="s">
        <v>62</v>
      </c>
      <c r="B40" s="14" t="s">
        <v>4492</v>
      </c>
      <c r="C40" s="14" t="s">
        <v>4493</v>
      </c>
      <c r="D40" s="14" t="s">
        <v>4494</v>
      </c>
      <c r="E40" s="14" t="str">
        <f>"0,7766"</f>
        <v>0,7766</v>
      </c>
      <c r="F40" s="14" t="s">
        <v>1968</v>
      </c>
      <c r="G40" s="16" t="s">
        <v>421</v>
      </c>
      <c r="H40" s="15" t="s">
        <v>421</v>
      </c>
      <c r="I40" s="16" t="s">
        <v>508</v>
      </c>
      <c r="J40" s="17"/>
      <c r="K40" s="40" t="str">
        <f>"230,0"</f>
        <v>230,0</v>
      </c>
      <c r="L40" s="17" t="str">
        <f>"178,6180"</f>
        <v>178,6180</v>
      </c>
      <c r="M40" s="14" t="s">
        <v>4495</v>
      </c>
    </row>
    <row r="41" spans="1:13">
      <c r="A41" s="17" t="s">
        <v>15</v>
      </c>
      <c r="B41" s="14" t="s">
        <v>4492</v>
      </c>
      <c r="C41" s="14" t="s">
        <v>4496</v>
      </c>
      <c r="D41" s="14" t="s">
        <v>4494</v>
      </c>
      <c r="E41" s="14" t="str">
        <f>"0,7766"</f>
        <v>0,7766</v>
      </c>
      <c r="F41" s="14" t="s">
        <v>1968</v>
      </c>
      <c r="G41" s="16" t="s">
        <v>421</v>
      </c>
      <c r="H41" s="15" t="s">
        <v>421</v>
      </c>
      <c r="I41" s="16" t="s">
        <v>508</v>
      </c>
      <c r="J41" s="17"/>
      <c r="K41" s="40" t="str">
        <f>"230,0"</f>
        <v>230,0</v>
      </c>
      <c r="L41" s="17" t="str">
        <f>"178,6180"</f>
        <v>178,6180</v>
      </c>
      <c r="M41" s="14" t="s">
        <v>4495</v>
      </c>
    </row>
    <row r="42" spans="1:13">
      <c r="A42" s="17" t="s">
        <v>62</v>
      </c>
      <c r="B42" s="14" t="s">
        <v>968</v>
      </c>
      <c r="C42" s="14" t="s">
        <v>969</v>
      </c>
      <c r="D42" s="14" t="s">
        <v>970</v>
      </c>
      <c r="E42" s="14" t="str">
        <f>"0,7710"</f>
        <v>0,7710</v>
      </c>
      <c r="F42" s="14" t="s">
        <v>176</v>
      </c>
      <c r="G42" s="15" t="s">
        <v>420</v>
      </c>
      <c r="H42" s="15" t="s">
        <v>442</v>
      </c>
      <c r="I42" s="16" t="s">
        <v>421</v>
      </c>
      <c r="J42" s="17"/>
      <c r="K42" s="40" t="str">
        <f>"225,0"</f>
        <v>225,0</v>
      </c>
      <c r="L42" s="17" t="str">
        <f>"173,4750"</f>
        <v>173,4750</v>
      </c>
      <c r="M42" s="14" t="s">
        <v>971</v>
      </c>
    </row>
    <row r="43" spans="1:13">
      <c r="A43" s="17" t="s">
        <v>15</v>
      </c>
      <c r="B43" s="14" t="s">
        <v>973</v>
      </c>
      <c r="C43" s="14" t="s">
        <v>974</v>
      </c>
      <c r="D43" s="14" t="s">
        <v>975</v>
      </c>
      <c r="E43" s="14" t="str">
        <f>"0,7729"</f>
        <v>0,7729</v>
      </c>
      <c r="F43" s="14" t="s">
        <v>594</v>
      </c>
      <c r="G43" s="15" t="s">
        <v>70</v>
      </c>
      <c r="H43" s="15" t="s">
        <v>59</v>
      </c>
      <c r="I43" s="16" t="s">
        <v>205</v>
      </c>
      <c r="J43" s="17"/>
      <c r="K43" s="40" t="str">
        <f>"145,0"</f>
        <v>145,0</v>
      </c>
      <c r="L43" s="17" t="str">
        <f>"113,6395"</f>
        <v>113,6395</v>
      </c>
      <c r="M43" s="14" t="s">
        <v>976</v>
      </c>
    </row>
    <row r="44" spans="1:13">
      <c r="A44" s="17" t="s">
        <v>15</v>
      </c>
      <c r="B44" s="14" t="s">
        <v>1630</v>
      </c>
      <c r="C44" s="14" t="s">
        <v>1631</v>
      </c>
      <c r="D44" s="14" t="s">
        <v>367</v>
      </c>
      <c r="E44" s="14" t="str">
        <f>"0,7794"</f>
        <v>0,7794</v>
      </c>
      <c r="F44" s="14" t="s">
        <v>1632</v>
      </c>
      <c r="G44" s="15" t="s">
        <v>248</v>
      </c>
      <c r="H44" s="15" t="s">
        <v>398</v>
      </c>
      <c r="I44" s="15" t="s">
        <v>392</v>
      </c>
      <c r="J44" s="17"/>
      <c r="K44" s="40" t="str">
        <f>"190,0"</f>
        <v>190,0</v>
      </c>
      <c r="L44" s="17" t="str">
        <f>"185,1075"</f>
        <v>185,1075</v>
      </c>
      <c r="M44" s="14" t="s">
        <v>158</v>
      </c>
    </row>
    <row r="45" spans="1:13">
      <c r="A45" s="17" t="s">
        <v>15</v>
      </c>
      <c r="B45" s="14" t="s">
        <v>2229</v>
      </c>
      <c r="C45" s="14" t="s">
        <v>2232</v>
      </c>
      <c r="D45" s="14" t="s">
        <v>2231</v>
      </c>
      <c r="E45" s="14" t="str">
        <f>"0,7942"</f>
        <v>0,7942</v>
      </c>
      <c r="F45" s="14" t="s">
        <v>129</v>
      </c>
      <c r="G45" s="15" t="s">
        <v>248</v>
      </c>
      <c r="H45" s="15" t="s">
        <v>452</v>
      </c>
      <c r="I45" s="15" t="s">
        <v>398</v>
      </c>
      <c r="J45" s="17"/>
      <c r="K45" s="40" t="str">
        <f>"180,0"</f>
        <v>180,0</v>
      </c>
      <c r="L45" s="17" t="str">
        <f>"197,2793"</f>
        <v>197,2793</v>
      </c>
      <c r="M45" s="14" t="s">
        <v>158</v>
      </c>
    </row>
    <row r="46" spans="1:13">
      <c r="A46" s="17" t="s">
        <v>15</v>
      </c>
      <c r="B46" s="14" t="s">
        <v>4497</v>
      </c>
      <c r="C46" s="14" t="s">
        <v>4498</v>
      </c>
      <c r="D46" s="14" t="s">
        <v>2437</v>
      </c>
      <c r="E46" s="14" t="str">
        <f>"0,7911"</f>
        <v>0,7911</v>
      </c>
      <c r="F46" s="14" t="s">
        <v>4499</v>
      </c>
      <c r="G46" s="15" t="s">
        <v>60</v>
      </c>
      <c r="H46" s="15" t="s">
        <v>151</v>
      </c>
      <c r="I46" s="17"/>
      <c r="J46" s="17"/>
      <c r="K46" s="40" t="str">
        <f>"160,0"</f>
        <v>160,0</v>
      </c>
      <c r="L46" s="17" t="str">
        <f>"260,7466"</f>
        <v>260,7466</v>
      </c>
      <c r="M46" s="14" t="s">
        <v>158</v>
      </c>
    </row>
    <row r="47" spans="1:13">
      <c r="A47" s="20" t="s">
        <v>62</v>
      </c>
      <c r="B47" s="18" t="s">
        <v>982</v>
      </c>
      <c r="C47" s="18" t="s">
        <v>983</v>
      </c>
      <c r="D47" s="18" t="s">
        <v>984</v>
      </c>
      <c r="E47" s="18" t="str">
        <f>"0,8329"</f>
        <v>0,8329</v>
      </c>
      <c r="F47" s="18" t="s">
        <v>985</v>
      </c>
      <c r="G47" s="19" t="s">
        <v>58</v>
      </c>
      <c r="H47" s="19" t="s">
        <v>60</v>
      </c>
      <c r="I47" s="19" t="s">
        <v>205</v>
      </c>
      <c r="J47" s="20"/>
      <c r="K47" s="38" t="str">
        <f>"155,0"</f>
        <v>155,0</v>
      </c>
      <c r="L47" s="20" t="str">
        <f>"265,9450"</f>
        <v>265,9450</v>
      </c>
      <c r="M47" s="18" t="s">
        <v>986</v>
      </c>
    </row>
    <row r="48" spans="1:13">
      <c r="B48" s="5" t="s">
        <v>40</v>
      </c>
    </row>
    <row r="49" spans="1:13" ht="15.95">
      <c r="A49" s="102" t="s">
        <v>301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1:13">
      <c r="A50" s="13" t="s">
        <v>15</v>
      </c>
      <c r="B50" s="11" t="s">
        <v>987</v>
      </c>
      <c r="C50" s="11" t="s">
        <v>988</v>
      </c>
      <c r="D50" s="11" t="s">
        <v>419</v>
      </c>
      <c r="E50" s="11" t="str">
        <f>"0,7166"</f>
        <v>0,7166</v>
      </c>
      <c r="F50" s="11" t="s">
        <v>4500</v>
      </c>
      <c r="G50" s="12" t="s">
        <v>422</v>
      </c>
      <c r="H50" s="12" t="s">
        <v>490</v>
      </c>
      <c r="I50" s="21" t="s">
        <v>990</v>
      </c>
      <c r="J50" s="13"/>
      <c r="K50" s="37" t="str">
        <f>"250,0"</f>
        <v>250,0</v>
      </c>
      <c r="L50" s="13" t="str">
        <f>"179,1500"</f>
        <v>179,1500</v>
      </c>
      <c r="M50" s="11" t="s">
        <v>991</v>
      </c>
    </row>
    <row r="51" spans="1:13">
      <c r="A51" s="17" t="s">
        <v>15</v>
      </c>
      <c r="B51" s="14" t="s">
        <v>1636</v>
      </c>
      <c r="C51" s="14" t="s">
        <v>1637</v>
      </c>
      <c r="D51" s="14" t="s">
        <v>396</v>
      </c>
      <c r="E51" s="14" t="str">
        <f>"0,7256"</f>
        <v>0,7256</v>
      </c>
      <c r="F51" s="14" t="s">
        <v>119</v>
      </c>
      <c r="G51" s="15" t="s">
        <v>421</v>
      </c>
      <c r="H51" s="16" t="s">
        <v>490</v>
      </c>
      <c r="I51" s="15" t="s">
        <v>529</v>
      </c>
      <c r="J51" s="15" t="s">
        <v>523</v>
      </c>
      <c r="K51" s="40" t="str">
        <f>"255,0"</f>
        <v>255,0</v>
      </c>
      <c r="L51" s="17" t="str">
        <f>"185,0280"</f>
        <v>185,0280</v>
      </c>
      <c r="M51" s="14" t="s">
        <v>4501</v>
      </c>
    </row>
    <row r="52" spans="1:13">
      <c r="A52" s="17" t="s">
        <v>15</v>
      </c>
      <c r="B52" s="14" t="s">
        <v>4502</v>
      </c>
      <c r="C52" s="14" t="s">
        <v>4503</v>
      </c>
      <c r="D52" s="14" t="s">
        <v>440</v>
      </c>
      <c r="E52" s="14" t="str">
        <f>"0,7173"</f>
        <v>0,7173</v>
      </c>
      <c r="F52" s="14" t="s">
        <v>513</v>
      </c>
      <c r="G52" s="15" t="s">
        <v>804</v>
      </c>
      <c r="H52" s="15" t="s">
        <v>1043</v>
      </c>
      <c r="I52" s="15" t="s">
        <v>1086</v>
      </c>
      <c r="J52" s="17"/>
      <c r="K52" s="40" t="str">
        <f>"320,0"</f>
        <v>320,0</v>
      </c>
      <c r="L52" s="17" t="str">
        <f>"229,5360"</f>
        <v>229,5360</v>
      </c>
      <c r="M52" s="14" t="s">
        <v>158</v>
      </c>
    </row>
    <row r="53" spans="1:13">
      <c r="A53" s="17" t="s">
        <v>62</v>
      </c>
      <c r="B53" s="14" t="s">
        <v>1001</v>
      </c>
      <c r="C53" s="14" t="s">
        <v>1002</v>
      </c>
      <c r="D53" s="14" t="s">
        <v>1003</v>
      </c>
      <c r="E53" s="14" t="str">
        <f>"0,7146"</f>
        <v>0,7146</v>
      </c>
      <c r="F53" s="14" t="s">
        <v>1004</v>
      </c>
      <c r="G53" s="15" t="s">
        <v>640</v>
      </c>
      <c r="H53" s="15" t="s">
        <v>745</v>
      </c>
      <c r="I53" s="16" t="s">
        <v>1005</v>
      </c>
      <c r="J53" s="17"/>
      <c r="K53" s="40" t="str">
        <f>"285,0"</f>
        <v>285,0</v>
      </c>
      <c r="L53" s="17" t="str">
        <f>"203,6610"</f>
        <v>203,6610</v>
      </c>
      <c r="M53" s="14" t="s">
        <v>1006</v>
      </c>
    </row>
    <row r="54" spans="1:13">
      <c r="A54" s="17" t="s">
        <v>73</v>
      </c>
      <c r="B54" s="14" t="s">
        <v>1011</v>
      </c>
      <c r="C54" s="14" t="s">
        <v>1012</v>
      </c>
      <c r="D54" s="14" t="s">
        <v>1013</v>
      </c>
      <c r="E54" s="14" t="str">
        <f>"0,7307"</f>
        <v>0,7307</v>
      </c>
      <c r="F54" s="14" t="s">
        <v>1014</v>
      </c>
      <c r="G54" s="15" t="s">
        <v>490</v>
      </c>
      <c r="H54" s="15" t="s">
        <v>523</v>
      </c>
      <c r="I54" s="16" t="s">
        <v>744</v>
      </c>
      <c r="J54" s="17"/>
      <c r="K54" s="40" t="str">
        <f>"260,0"</f>
        <v>260,0</v>
      </c>
      <c r="L54" s="17" t="str">
        <f>"189,9820"</f>
        <v>189,9820</v>
      </c>
      <c r="M54" s="14" t="s">
        <v>1015</v>
      </c>
    </row>
    <row r="55" spans="1:13">
      <c r="A55" s="17" t="s">
        <v>75</v>
      </c>
      <c r="B55" s="14" t="s">
        <v>4504</v>
      </c>
      <c r="C55" s="14" t="s">
        <v>3723</v>
      </c>
      <c r="D55" s="14" t="s">
        <v>313</v>
      </c>
      <c r="E55" s="14" t="str">
        <f>"0,7139"</f>
        <v>0,7139</v>
      </c>
      <c r="F55" s="14" t="s">
        <v>594</v>
      </c>
      <c r="G55" s="15" t="s">
        <v>627</v>
      </c>
      <c r="H55" s="16" t="s">
        <v>1042</v>
      </c>
      <c r="I55" s="16" t="s">
        <v>1042</v>
      </c>
      <c r="J55" s="17"/>
      <c r="K55" s="40" t="str">
        <f>"245,0"</f>
        <v>245,0</v>
      </c>
      <c r="L55" s="17" t="str">
        <f>"174,9055"</f>
        <v>174,9055</v>
      </c>
      <c r="M55" s="14" t="s">
        <v>158</v>
      </c>
    </row>
    <row r="56" spans="1:13">
      <c r="A56" s="17" t="s">
        <v>92</v>
      </c>
      <c r="B56" s="14" t="s">
        <v>4505</v>
      </c>
      <c r="C56" s="14" t="s">
        <v>4506</v>
      </c>
      <c r="D56" s="14" t="s">
        <v>1607</v>
      </c>
      <c r="E56" s="14" t="str">
        <f>"0,7214"</f>
        <v>0,7214</v>
      </c>
      <c r="F56" s="14" t="s">
        <v>1105</v>
      </c>
      <c r="G56" s="16" t="s">
        <v>151</v>
      </c>
      <c r="H56" s="16" t="s">
        <v>151</v>
      </c>
      <c r="I56" s="16" t="s">
        <v>151</v>
      </c>
      <c r="J56" s="17"/>
      <c r="K56" s="40">
        <v>0</v>
      </c>
      <c r="L56" s="17" t="str">
        <f>"0,0000"</f>
        <v>0,0000</v>
      </c>
      <c r="M56" s="14" t="s">
        <v>4507</v>
      </c>
    </row>
    <row r="57" spans="1:13">
      <c r="A57" s="17" t="s">
        <v>15</v>
      </c>
      <c r="B57" s="14" t="s">
        <v>3123</v>
      </c>
      <c r="C57" s="14" t="s">
        <v>3124</v>
      </c>
      <c r="D57" s="14" t="s">
        <v>3125</v>
      </c>
      <c r="E57" s="14" t="str">
        <f>"0,7665"</f>
        <v>0,7665</v>
      </c>
      <c r="F57" s="14" t="s">
        <v>813</v>
      </c>
      <c r="G57" s="15" t="s">
        <v>58</v>
      </c>
      <c r="H57" s="15" t="s">
        <v>60</v>
      </c>
      <c r="I57" s="15" t="s">
        <v>205</v>
      </c>
      <c r="J57" s="17"/>
      <c r="K57" s="40" t="str">
        <f>"155,0"</f>
        <v>155,0</v>
      </c>
      <c r="L57" s="17" t="str">
        <f>"197,6957"</f>
        <v>197,6957</v>
      </c>
      <c r="M57" s="14" t="s">
        <v>158</v>
      </c>
    </row>
    <row r="58" spans="1:13">
      <c r="A58" s="20" t="s">
        <v>92</v>
      </c>
      <c r="B58" s="18" t="s">
        <v>1020</v>
      </c>
      <c r="C58" s="18" t="s">
        <v>1021</v>
      </c>
      <c r="D58" s="18" t="s">
        <v>1022</v>
      </c>
      <c r="E58" s="18" t="str">
        <f>"0,7221"</f>
        <v>0,7221</v>
      </c>
      <c r="F58" s="18" t="s">
        <v>1023</v>
      </c>
      <c r="G58" s="22" t="s">
        <v>392</v>
      </c>
      <c r="H58" s="20"/>
      <c r="I58" s="20"/>
      <c r="J58" s="20"/>
      <c r="K58" s="38">
        <v>0</v>
      </c>
      <c r="L58" s="20" t="str">
        <f>"0,0000"</f>
        <v>0,0000</v>
      </c>
      <c r="M58" s="18" t="s">
        <v>158</v>
      </c>
    </row>
    <row r="59" spans="1:13">
      <c r="B59" s="5" t="s">
        <v>40</v>
      </c>
    </row>
    <row r="60" spans="1:13" ht="15.95">
      <c r="A60" s="102" t="s">
        <v>334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3">
      <c r="A61" s="13" t="s">
        <v>15</v>
      </c>
      <c r="B61" s="11" t="s">
        <v>4508</v>
      </c>
      <c r="C61" s="11" t="s">
        <v>4509</v>
      </c>
      <c r="D61" s="11" t="s">
        <v>521</v>
      </c>
      <c r="E61" s="11" t="str">
        <f>"0,6754"</f>
        <v>0,6754</v>
      </c>
      <c r="F61" s="11" t="s">
        <v>91</v>
      </c>
      <c r="G61" s="12" t="s">
        <v>1030</v>
      </c>
      <c r="H61" s="21" t="s">
        <v>1086</v>
      </c>
      <c r="I61" s="12" t="s">
        <v>1086</v>
      </c>
      <c r="J61" s="13"/>
      <c r="K61" s="37" t="str">
        <f>"320,0"</f>
        <v>320,0</v>
      </c>
      <c r="L61" s="13" t="str">
        <f>"216,1280"</f>
        <v>216,1280</v>
      </c>
      <c r="M61" s="11" t="s">
        <v>158</v>
      </c>
    </row>
    <row r="62" spans="1:13">
      <c r="A62" s="17" t="s">
        <v>62</v>
      </c>
      <c r="B62" s="14" t="s">
        <v>1039</v>
      </c>
      <c r="C62" s="14" t="s">
        <v>1040</v>
      </c>
      <c r="D62" s="14" t="s">
        <v>575</v>
      </c>
      <c r="E62" s="14" t="str">
        <f>"0,6704"</f>
        <v>0,6704</v>
      </c>
      <c r="F62" s="14" t="s">
        <v>1041</v>
      </c>
      <c r="G62" s="15" t="s">
        <v>822</v>
      </c>
      <c r="H62" s="15" t="s">
        <v>804</v>
      </c>
      <c r="I62" s="15" t="s">
        <v>1043</v>
      </c>
      <c r="J62" s="17"/>
      <c r="K62" s="40" t="str">
        <f>"310,0"</f>
        <v>310,0</v>
      </c>
      <c r="L62" s="17" t="str">
        <f>"207,8240"</f>
        <v>207,8240</v>
      </c>
      <c r="M62" s="14" t="s">
        <v>1044</v>
      </c>
    </row>
    <row r="63" spans="1:13">
      <c r="A63" s="17" t="s">
        <v>73</v>
      </c>
      <c r="B63" s="14" t="s">
        <v>4510</v>
      </c>
      <c r="C63" s="14" t="s">
        <v>4511</v>
      </c>
      <c r="D63" s="14" t="s">
        <v>554</v>
      </c>
      <c r="E63" s="14" t="str">
        <f>"0,6739"</f>
        <v>0,6739</v>
      </c>
      <c r="F63" s="14" t="s">
        <v>594</v>
      </c>
      <c r="G63" s="15" t="s">
        <v>738</v>
      </c>
      <c r="H63" s="15" t="s">
        <v>822</v>
      </c>
      <c r="I63" s="16" t="s">
        <v>823</v>
      </c>
      <c r="J63" s="17"/>
      <c r="K63" s="40" t="str">
        <f>"290,0"</f>
        <v>290,0</v>
      </c>
      <c r="L63" s="17" t="str">
        <f>"195,4310"</f>
        <v>195,4310</v>
      </c>
      <c r="M63" s="14" t="s">
        <v>4512</v>
      </c>
    </row>
    <row r="64" spans="1:13">
      <c r="A64" s="17" t="s">
        <v>75</v>
      </c>
      <c r="B64" s="14" t="s">
        <v>4513</v>
      </c>
      <c r="C64" s="14" t="s">
        <v>4514</v>
      </c>
      <c r="D64" s="14" t="s">
        <v>587</v>
      </c>
      <c r="E64" s="14" t="str">
        <f>"0,6774"</f>
        <v>0,6774</v>
      </c>
      <c r="F64" s="14" t="s">
        <v>176</v>
      </c>
      <c r="G64" s="15" t="s">
        <v>490</v>
      </c>
      <c r="H64" s="16" t="s">
        <v>523</v>
      </c>
      <c r="I64" s="15" t="s">
        <v>491</v>
      </c>
      <c r="J64" s="17"/>
      <c r="K64" s="40" t="str">
        <f>"265,0"</f>
        <v>265,0</v>
      </c>
      <c r="L64" s="17" t="str">
        <f>"179,5110"</f>
        <v>179,5110</v>
      </c>
      <c r="M64" s="14" t="s">
        <v>158</v>
      </c>
    </row>
    <row r="65" spans="1:13">
      <c r="A65" s="17" t="s">
        <v>87</v>
      </c>
      <c r="B65" s="14" t="s">
        <v>4515</v>
      </c>
      <c r="C65" s="14" t="s">
        <v>4516</v>
      </c>
      <c r="D65" s="14" t="s">
        <v>512</v>
      </c>
      <c r="E65" s="14" t="str">
        <f>"0,6790"</f>
        <v>0,6790</v>
      </c>
      <c r="F65" s="14" t="s">
        <v>176</v>
      </c>
      <c r="G65" s="15" t="s">
        <v>490</v>
      </c>
      <c r="H65" s="15" t="s">
        <v>523</v>
      </c>
      <c r="I65" s="15" t="s">
        <v>1042</v>
      </c>
      <c r="J65" s="17"/>
      <c r="K65" s="40" t="str">
        <f>"262,5"</f>
        <v>262,5</v>
      </c>
      <c r="L65" s="17" t="str">
        <f>"178,2375"</f>
        <v>178,2375</v>
      </c>
      <c r="M65" s="14" t="s">
        <v>1000</v>
      </c>
    </row>
    <row r="66" spans="1:13">
      <c r="A66" s="17" t="s">
        <v>168</v>
      </c>
      <c r="B66" s="14" t="s">
        <v>1681</v>
      </c>
      <c r="C66" s="14" t="s">
        <v>1682</v>
      </c>
      <c r="D66" s="14" t="s">
        <v>527</v>
      </c>
      <c r="E66" s="14" t="str">
        <f>"0,6811"</f>
        <v>0,6811</v>
      </c>
      <c r="F66" s="14" t="s">
        <v>54</v>
      </c>
      <c r="G66" s="15" t="s">
        <v>399</v>
      </c>
      <c r="H66" s="15" t="s">
        <v>420</v>
      </c>
      <c r="I66" s="16" t="s">
        <v>421</v>
      </c>
      <c r="J66" s="17"/>
      <c r="K66" s="40" t="str">
        <f>"220,0"</f>
        <v>220,0</v>
      </c>
      <c r="L66" s="17" t="str">
        <f>"149,8420"</f>
        <v>149,8420</v>
      </c>
      <c r="M66" s="14" t="s">
        <v>683</v>
      </c>
    </row>
    <row r="67" spans="1:13">
      <c r="A67" s="17" t="s">
        <v>15</v>
      </c>
      <c r="B67" s="14" t="s">
        <v>1689</v>
      </c>
      <c r="C67" s="14" t="s">
        <v>1690</v>
      </c>
      <c r="D67" s="14" t="s">
        <v>587</v>
      </c>
      <c r="E67" s="14" t="str">
        <f>"0,6774"</f>
        <v>0,6774</v>
      </c>
      <c r="F67" s="14" t="s">
        <v>1651</v>
      </c>
      <c r="G67" s="53" t="s">
        <v>70</v>
      </c>
      <c r="H67" s="15" t="s">
        <v>70</v>
      </c>
      <c r="I67" s="57" t="s">
        <v>58</v>
      </c>
      <c r="J67" s="17"/>
      <c r="K67" s="40" t="str">
        <f>"140,0"</f>
        <v>140,0</v>
      </c>
      <c r="L67" s="17" t="str">
        <f>"112,5703"</f>
        <v>112,5703</v>
      </c>
      <c r="M67" s="14" t="s">
        <v>1691</v>
      </c>
    </row>
    <row r="68" spans="1:13">
      <c r="A68" s="17" t="s">
        <v>62</v>
      </c>
      <c r="B68" s="14" t="s">
        <v>4517</v>
      </c>
      <c r="C68" s="14" t="s">
        <v>4518</v>
      </c>
      <c r="D68" s="14" t="s">
        <v>1469</v>
      </c>
      <c r="E68" s="14" t="str">
        <f>"0,6779"</f>
        <v>0,6779</v>
      </c>
      <c r="F68" s="14" t="s">
        <v>4519</v>
      </c>
      <c r="G68" s="16" t="s">
        <v>56</v>
      </c>
      <c r="H68" s="16" t="s">
        <v>70</v>
      </c>
      <c r="I68" s="15" t="s">
        <v>70</v>
      </c>
      <c r="J68" s="17"/>
      <c r="K68" s="40" t="str">
        <f>"120,0"</f>
        <v>120,0</v>
      </c>
      <c r="L68" s="17" t="str">
        <f>"107,5421"</f>
        <v>107,5421</v>
      </c>
      <c r="M68" s="14" t="s">
        <v>158</v>
      </c>
    </row>
    <row r="69" spans="1:13">
      <c r="A69" s="20" t="s">
        <v>15</v>
      </c>
      <c r="B69" s="18" t="s">
        <v>4520</v>
      </c>
      <c r="C69" s="18" t="s">
        <v>4521</v>
      </c>
      <c r="D69" s="18" t="s">
        <v>3890</v>
      </c>
      <c r="E69" s="18" t="str">
        <f>"0,7005"</f>
        <v>0,7005</v>
      </c>
      <c r="F69" s="18" t="s">
        <v>1105</v>
      </c>
      <c r="G69" s="19" t="s">
        <v>56</v>
      </c>
      <c r="H69" s="19" t="s">
        <v>145</v>
      </c>
      <c r="I69" s="19" t="s">
        <v>71</v>
      </c>
      <c r="J69" s="20"/>
      <c r="K69" s="38" t="str">
        <f>"130,0"</f>
        <v>130,0</v>
      </c>
      <c r="L69" s="20" t="str">
        <f>"158,4531"</f>
        <v>158,4531</v>
      </c>
      <c r="M69" s="18" t="s">
        <v>158</v>
      </c>
    </row>
    <row r="70" spans="1:13">
      <c r="B70" s="5" t="s">
        <v>40</v>
      </c>
    </row>
    <row r="71" spans="1:13" ht="15.95">
      <c r="A71" s="102" t="s">
        <v>598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</row>
    <row r="72" spans="1:13">
      <c r="A72" s="13" t="s">
        <v>15</v>
      </c>
      <c r="B72" s="11" t="s">
        <v>1695</v>
      </c>
      <c r="C72" s="11" t="s">
        <v>1696</v>
      </c>
      <c r="D72" s="11" t="s">
        <v>653</v>
      </c>
      <c r="E72" s="11" t="str">
        <f>"0,6475"</f>
        <v>0,6475</v>
      </c>
      <c r="F72" s="11" t="s">
        <v>1697</v>
      </c>
      <c r="G72" s="12" t="s">
        <v>804</v>
      </c>
      <c r="H72" s="21" t="s">
        <v>1043</v>
      </c>
      <c r="I72" s="21" t="s">
        <v>1078</v>
      </c>
      <c r="J72" s="13"/>
      <c r="K72" s="37" t="str">
        <f>"300,0"</f>
        <v>300,0</v>
      </c>
      <c r="L72" s="13" t="str">
        <f>"194,2500"</f>
        <v>194,2500</v>
      </c>
      <c r="M72" s="11" t="s">
        <v>1698</v>
      </c>
    </row>
    <row r="73" spans="1:13">
      <c r="A73" s="17" t="s">
        <v>15</v>
      </c>
      <c r="B73" s="14" t="s">
        <v>1083</v>
      </c>
      <c r="C73" s="14" t="s">
        <v>1084</v>
      </c>
      <c r="D73" s="14" t="s">
        <v>1085</v>
      </c>
      <c r="E73" s="14" t="str">
        <f>"0,6455"</f>
        <v>0,6455</v>
      </c>
      <c r="F73" s="14" t="s">
        <v>338</v>
      </c>
      <c r="G73" s="15" t="s">
        <v>804</v>
      </c>
      <c r="H73" s="15" t="s">
        <v>1086</v>
      </c>
      <c r="I73" s="16" t="s">
        <v>1087</v>
      </c>
      <c r="J73" s="17"/>
      <c r="K73" s="40" t="str">
        <f>"320,0"</f>
        <v>320,0</v>
      </c>
      <c r="L73" s="17" t="str">
        <f>"206,5600"</f>
        <v>206,5600</v>
      </c>
      <c r="M73" s="14" t="s">
        <v>158</v>
      </c>
    </row>
    <row r="74" spans="1:13">
      <c r="A74" s="17" t="s">
        <v>62</v>
      </c>
      <c r="B74" s="14" t="s">
        <v>1753</v>
      </c>
      <c r="C74" s="14" t="s">
        <v>4522</v>
      </c>
      <c r="D74" s="14" t="s">
        <v>3733</v>
      </c>
      <c r="E74" s="14" t="str">
        <f>"0,6395"</f>
        <v>0,6395</v>
      </c>
      <c r="F74" s="14" t="s">
        <v>91</v>
      </c>
      <c r="G74" s="15" t="s">
        <v>804</v>
      </c>
      <c r="H74" s="16" t="s">
        <v>1711</v>
      </c>
      <c r="I74" s="15" t="s">
        <v>1711</v>
      </c>
      <c r="J74" s="17"/>
      <c r="K74" s="40" t="str">
        <f>"317,5"</f>
        <v>317,5</v>
      </c>
      <c r="L74" s="17" t="str">
        <f>"203,0413"</f>
        <v>203,0413</v>
      </c>
      <c r="M74" s="14" t="s">
        <v>158</v>
      </c>
    </row>
    <row r="75" spans="1:13">
      <c r="A75" s="17" t="s">
        <v>73</v>
      </c>
      <c r="B75" s="14" t="s">
        <v>1709</v>
      </c>
      <c r="C75" s="14" t="s">
        <v>1710</v>
      </c>
      <c r="D75" s="14" t="s">
        <v>1081</v>
      </c>
      <c r="E75" s="14" t="str">
        <f>"0,6384"</f>
        <v>0,6384</v>
      </c>
      <c r="F75" s="14" t="s">
        <v>176</v>
      </c>
      <c r="G75" s="15" t="s">
        <v>1043</v>
      </c>
      <c r="H75" s="16" t="s">
        <v>1711</v>
      </c>
      <c r="I75" s="16" t="s">
        <v>839</v>
      </c>
      <c r="J75" s="17"/>
      <c r="K75" s="40" t="str">
        <f>"310,0"</f>
        <v>310,0</v>
      </c>
      <c r="L75" s="17" t="str">
        <f>"197,9040"</f>
        <v>197,9040</v>
      </c>
      <c r="M75" s="14" t="s">
        <v>4523</v>
      </c>
    </row>
    <row r="76" spans="1:13">
      <c r="A76" s="17" t="s">
        <v>75</v>
      </c>
      <c r="B76" s="14" t="s">
        <v>1695</v>
      </c>
      <c r="C76" s="14" t="s">
        <v>1723</v>
      </c>
      <c r="D76" s="14" t="s">
        <v>653</v>
      </c>
      <c r="E76" s="14" t="str">
        <f>"0,6475"</f>
        <v>0,6475</v>
      </c>
      <c r="F76" s="14" t="s">
        <v>1697</v>
      </c>
      <c r="G76" s="15" t="s">
        <v>804</v>
      </c>
      <c r="H76" s="16" t="s">
        <v>1043</v>
      </c>
      <c r="I76" s="16" t="s">
        <v>1078</v>
      </c>
      <c r="J76" s="17"/>
      <c r="K76" s="40" t="str">
        <f>"300,0"</f>
        <v>300,0</v>
      </c>
      <c r="L76" s="17" t="str">
        <f>"194,2500"</f>
        <v>194,2500</v>
      </c>
      <c r="M76" s="14" t="s">
        <v>1698</v>
      </c>
    </row>
    <row r="77" spans="1:13">
      <c r="A77" s="17" t="s">
        <v>87</v>
      </c>
      <c r="B77" s="14" t="s">
        <v>2242</v>
      </c>
      <c r="C77" s="14" t="s">
        <v>2243</v>
      </c>
      <c r="D77" s="14" t="s">
        <v>1085</v>
      </c>
      <c r="E77" s="14" t="str">
        <f>"0,6455"</f>
        <v>0,6455</v>
      </c>
      <c r="F77" s="14" t="s">
        <v>1279</v>
      </c>
      <c r="G77" s="15" t="s">
        <v>804</v>
      </c>
      <c r="H77" s="16" t="s">
        <v>1078</v>
      </c>
      <c r="I77" s="16" t="s">
        <v>1078</v>
      </c>
      <c r="J77" s="17"/>
      <c r="K77" s="40" t="str">
        <f>"300,0"</f>
        <v>300,0</v>
      </c>
      <c r="L77" s="17" t="str">
        <f>"193,6500"</f>
        <v>193,6500</v>
      </c>
      <c r="M77" s="14" t="s">
        <v>2244</v>
      </c>
    </row>
    <row r="78" spans="1:13">
      <c r="A78" s="17" t="s">
        <v>168</v>
      </c>
      <c r="B78" s="14" t="s">
        <v>4524</v>
      </c>
      <c r="C78" s="14" t="s">
        <v>4525</v>
      </c>
      <c r="D78" s="14" t="s">
        <v>1492</v>
      </c>
      <c r="E78" s="14" t="str">
        <f>"0,6406"</f>
        <v>0,6406</v>
      </c>
      <c r="F78" s="14" t="s">
        <v>2378</v>
      </c>
      <c r="G78" s="15" t="s">
        <v>1241</v>
      </c>
      <c r="H78" s="16" t="s">
        <v>1030</v>
      </c>
      <c r="I78" s="16" t="s">
        <v>1030</v>
      </c>
      <c r="J78" s="17"/>
      <c r="K78" s="40" t="str">
        <f>"297,5"</f>
        <v>297,5</v>
      </c>
      <c r="L78" s="17" t="str">
        <f>"190,5785"</f>
        <v>190,5785</v>
      </c>
      <c r="M78" s="14" t="s">
        <v>896</v>
      </c>
    </row>
    <row r="79" spans="1:13">
      <c r="A79" s="17" t="s">
        <v>172</v>
      </c>
      <c r="B79" s="14" t="s">
        <v>4526</v>
      </c>
      <c r="C79" s="14" t="s">
        <v>4527</v>
      </c>
      <c r="D79" s="14" t="s">
        <v>625</v>
      </c>
      <c r="E79" s="14" t="str">
        <f>"0,6402"</f>
        <v>0,6402</v>
      </c>
      <c r="F79" s="14" t="s">
        <v>1121</v>
      </c>
      <c r="G79" s="15" t="s">
        <v>640</v>
      </c>
      <c r="H79" s="15" t="s">
        <v>745</v>
      </c>
      <c r="I79" s="15" t="s">
        <v>746</v>
      </c>
      <c r="J79" s="17"/>
      <c r="K79" s="40" t="str">
        <f>"292,5"</f>
        <v>292,5</v>
      </c>
      <c r="L79" s="17" t="str">
        <f>"187,2585"</f>
        <v>187,2585</v>
      </c>
      <c r="M79" s="14" t="s">
        <v>158</v>
      </c>
    </row>
    <row r="80" spans="1:13">
      <c r="A80" s="17" t="s">
        <v>178</v>
      </c>
      <c r="B80" s="14" t="s">
        <v>3585</v>
      </c>
      <c r="C80" s="14" t="s">
        <v>3586</v>
      </c>
      <c r="D80" s="14" t="s">
        <v>643</v>
      </c>
      <c r="E80" s="14" t="str">
        <f>"0,6391"</f>
        <v>0,6391</v>
      </c>
      <c r="F80" s="14" t="s">
        <v>176</v>
      </c>
      <c r="G80" s="15" t="s">
        <v>523</v>
      </c>
      <c r="H80" s="15" t="s">
        <v>754</v>
      </c>
      <c r="I80" s="16" t="s">
        <v>745</v>
      </c>
      <c r="J80" s="17"/>
      <c r="K80" s="40" t="str">
        <f>"275,0"</f>
        <v>275,0</v>
      </c>
      <c r="L80" s="17" t="str">
        <f>"175,7525"</f>
        <v>175,7525</v>
      </c>
      <c r="M80" s="14" t="s">
        <v>3587</v>
      </c>
    </row>
    <row r="81" spans="1:13">
      <c r="A81" s="17" t="s">
        <v>183</v>
      </c>
      <c r="B81" s="14" t="s">
        <v>4528</v>
      </c>
      <c r="C81" s="14" t="s">
        <v>3250</v>
      </c>
      <c r="D81" s="14" t="s">
        <v>1062</v>
      </c>
      <c r="E81" s="14" t="str">
        <f>"0,6388"</f>
        <v>0,6388</v>
      </c>
      <c r="F81" s="14" t="s">
        <v>1694</v>
      </c>
      <c r="G81" s="15" t="s">
        <v>754</v>
      </c>
      <c r="H81" s="16" t="s">
        <v>745</v>
      </c>
      <c r="I81" s="16" t="s">
        <v>1030</v>
      </c>
      <c r="J81" s="17"/>
      <c r="K81" s="40" t="str">
        <f>"275,0"</f>
        <v>275,0</v>
      </c>
      <c r="L81" s="17" t="str">
        <f>"175,6700"</f>
        <v>175,6700</v>
      </c>
      <c r="M81" s="14" t="s">
        <v>4529</v>
      </c>
    </row>
    <row r="82" spans="1:13">
      <c r="A82" s="17" t="s">
        <v>92</v>
      </c>
      <c r="B82" s="14" t="s">
        <v>4530</v>
      </c>
      <c r="C82" s="14" t="s">
        <v>4531</v>
      </c>
      <c r="D82" s="14" t="s">
        <v>1081</v>
      </c>
      <c r="E82" s="14" t="str">
        <f>"0,6384"</f>
        <v>0,6384</v>
      </c>
      <c r="F82" s="14" t="s">
        <v>4532</v>
      </c>
      <c r="G82" s="16" t="s">
        <v>1043</v>
      </c>
      <c r="H82" s="16" t="s">
        <v>1043</v>
      </c>
      <c r="I82" s="16" t="s">
        <v>1043</v>
      </c>
      <c r="J82" s="17"/>
      <c r="K82" s="40">
        <v>0</v>
      </c>
      <c r="L82" s="17" t="str">
        <f>"0,0000"</f>
        <v>0,0000</v>
      </c>
      <c r="M82" s="14" t="s">
        <v>4533</v>
      </c>
    </row>
    <row r="83" spans="1:13">
      <c r="A83" s="17" t="s">
        <v>15</v>
      </c>
      <c r="B83" s="14" t="s">
        <v>4534</v>
      </c>
      <c r="C83" s="14" t="s">
        <v>4535</v>
      </c>
      <c r="D83" s="14" t="s">
        <v>1070</v>
      </c>
      <c r="E83" s="14" t="str">
        <f>"0,6424"</f>
        <v>0,6424</v>
      </c>
      <c r="F83" s="14" t="s">
        <v>4536</v>
      </c>
      <c r="G83" s="15" t="s">
        <v>420</v>
      </c>
      <c r="H83" s="15" t="s">
        <v>459</v>
      </c>
      <c r="I83" s="17"/>
      <c r="J83" s="17"/>
      <c r="K83" s="40" t="str">
        <f>"235,0"</f>
        <v>235,0</v>
      </c>
      <c r="L83" s="17" t="str">
        <f>"153,0775"</f>
        <v>153,0775</v>
      </c>
      <c r="M83" s="14" t="s">
        <v>158</v>
      </c>
    </row>
    <row r="84" spans="1:13">
      <c r="A84" s="17" t="s">
        <v>62</v>
      </c>
      <c r="B84" s="14" t="s">
        <v>1112</v>
      </c>
      <c r="C84" s="14" t="s">
        <v>1113</v>
      </c>
      <c r="D84" s="14" t="s">
        <v>1114</v>
      </c>
      <c r="E84" s="14" t="str">
        <f>"0,6467"</f>
        <v>0,6467</v>
      </c>
      <c r="F84" s="14" t="s">
        <v>602</v>
      </c>
      <c r="G84" s="15" t="s">
        <v>368</v>
      </c>
      <c r="H84" s="15" t="s">
        <v>383</v>
      </c>
      <c r="I84" s="15" t="s">
        <v>399</v>
      </c>
      <c r="J84" s="17"/>
      <c r="K84" s="40" t="str">
        <f>"205,0"</f>
        <v>205,0</v>
      </c>
      <c r="L84" s="17" t="str">
        <f>"140,5279"</f>
        <v>140,5279</v>
      </c>
      <c r="M84" s="14" t="s">
        <v>1115</v>
      </c>
    </row>
    <row r="85" spans="1:13">
      <c r="A85" s="17" t="s">
        <v>73</v>
      </c>
      <c r="B85" s="14" t="s">
        <v>1108</v>
      </c>
      <c r="C85" s="14" t="s">
        <v>2247</v>
      </c>
      <c r="D85" s="14" t="s">
        <v>625</v>
      </c>
      <c r="E85" s="14" t="str">
        <f>"0,6402"</f>
        <v>0,6402</v>
      </c>
      <c r="F85" s="14" t="s">
        <v>1110</v>
      </c>
      <c r="G85" s="15" t="s">
        <v>58</v>
      </c>
      <c r="H85" s="15" t="s">
        <v>398</v>
      </c>
      <c r="I85" s="16" t="s">
        <v>374</v>
      </c>
      <c r="J85" s="17"/>
      <c r="K85" s="40" t="str">
        <f>"180,0"</f>
        <v>180,0</v>
      </c>
      <c r="L85" s="17" t="str">
        <f>"122,1502"</f>
        <v>122,1502</v>
      </c>
      <c r="M85" s="14" t="s">
        <v>2248</v>
      </c>
    </row>
    <row r="86" spans="1:13">
      <c r="A86" s="17" t="s">
        <v>15</v>
      </c>
      <c r="B86" s="14" t="s">
        <v>1744</v>
      </c>
      <c r="C86" s="14" t="s">
        <v>1745</v>
      </c>
      <c r="D86" s="14" t="s">
        <v>1118</v>
      </c>
      <c r="E86" s="14" t="str">
        <f>"0,6440"</f>
        <v>0,6440</v>
      </c>
      <c r="F86" s="14" t="s">
        <v>1746</v>
      </c>
      <c r="G86" s="15" t="s">
        <v>640</v>
      </c>
      <c r="H86" s="15" t="s">
        <v>745</v>
      </c>
      <c r="I86" s="16" t="s">
        <v>746</v>
      </c>
      <c r="J86" s="17"/>
      <c r="K86" s="40" t="str">
        <f>"285,0"</f>
        <v>285,0</v>
      </c>
      <c r="L86" s="17" t="str">
        <f>"221,5328"</f>
        <v>221,5328</v>
      </c>
      <c r="M86" s="14" t="s">
        <v>158</v>
      </c>
    </row>
    <row r="87" spans="1:13">
      <c r="A87" s="17" t="s">
        <v>62</v>
      </c>
      <c r="B87" s="14" t="s">
        <v>1715</v>
      </c>
      <c r="C87" s="14" t="s">
        <v>1743</v>
      </c>
      <c r="D87" s="14" t="s">
        <v>1070</v>
      </c>
      <c r="E87" s="14" t="str">
        <f>"0,6424"</f>
        <v>0,6424</v>
      </c>
      <c r="F87" s="14" t="s">
        <v>594</v>
      </c>
      <c r="G87" s="15" t="s">
        <v>491</v>
      </c>
      <c r="H87" s="16" t="s">
        <v>1717</v>
      </c>
      <c r="I87" s="15" t="s">
        <v>1717</v>
      </c>
      <c r="J87" s="17"/>
      <c r="K87" s="40" t="str">
        <f>"277,5"</f>
        <v>277,5</v>
      </c>
      <c r="L87" s="17" t="str">
        <f>"208,2147"</f>
        <v>208,2147</v>
      </c>
      <c r="M87" s="14" t="s">
        <v>158</v>
      </c>
    </row>
    <row r="88" spans="1:13">
      <c r="A88" s="17" t="s">
        <v>15</v>
      </c>
      <c r="B88" s="14" t="s">
        <v>4021</v>
      </c>
      <c r="C88" s="14" t="s">
        <v>4537</v>
      </c>
      <c r="D88" s="14" t="s">
        <v>625</v>
      </c>
      <c r="E88" s="14" t="str">
        <f>"0,6402"</f>
        <v>0,6402</v>
      </c>
      <c r="F88" s="14" t="s">
        <v>1870</v>
      </c>
      <c r="G88" s="15" t="s">
        <v>420</v>
      </c>
      <c r="H88" s="15" t="s">
        <v>422</v>
      </c>
      <c r="I88" s="16" t="s">
        <v>627</v>
      </c>
      <c r="J88" s="17"/>
      <c r="K88" s="40" t="str">
        <f>"240,0"</f>
        <v>240,0</v>
      </c>
      <c r="L88" s="17" t="str">
        <f>"250,4462"</f>
        <v>250,4462</v>
      </c>
      <c r="M88" s="14" t="s">
        <v>158</v>
      </c>
    </row>
    <row r="89" spans="1:13">
      <c r="A89" s="17" t="s">
        <v>15</v>
      </c>
      <c r="B89" s="14" t="s">
        <v>667</v>
      </c>
      <c r="C89" s="14" t="s">
        <v>668</v>
      </c>
      <c r="D89" s="14" t="s">
        <v>622</v>
      </c>
      <c r="E89" s="14" t="str">
        <f>"0,6495"</f>
        <v>0,6495</v>
      </c>
      <c r="F89" s="14" t="s">
        <v>669</v>
      </c>
      <c r="G89" s="15" t="s">
        <v>152</v>
      </c>
      <c r="H89" s="15" t="s">
        <v>398</v>
      </c>
      <c r="I89" s="15" t="s">
        <v>368</v>
      </c>
      <c r="J89" s="17"/>
      <c r="K89" s="40" t="str">
        <f>"185,0"</f>
        <v>185,0</v>
      </c>
      <c r="L89" s="17" t="str">
        <f>"228,2993"</f>
        <v>228,2993</v>
      </c>
      <c r="M89" s="14" t="s">
        <v>158</v>
      </c>
    </row>
    <row r="90" spans="1:13">
      <c r="A90" s="20" t="s">
        <v>62</v>
      </c>
      <c r="B90" s="18" t="s">
        <v>2039</v>
      </c>
      <c r="C90" s="18" t="s">
        <v>2040</v>
      </c>
      <c r="D90" s="18" t="s">
        <v>2041</v>
      </c>
      <c r="E90" s="18" t="str">
        <f>"0,6398"</f>
        <v>0,6398</v>
      </c>
      <c r="F90" s="18" t="s">
        <v>547</v>
      </c>
      <c r="G90" s="22" t="s">
        <v>368</v>
      </c>
      <c r="H90" s="19" t="s">
        <v>368</v>
      </c>
      <c r="I90" s="22" t="s">
        <v>374</v>
      </c>
      <c r="J90" s="20"/>
      <c r="K90" s="38" t="str">
        <f>"185,0"</f>
        <v>185,0</v>
      </c>
      <c r="L90" s="20" t="str">
        <f>"205,9516"</f>
        <v>205,9516</v>
      </c>
      <c r="M90" s="18" t="s">
        <v>2042</v>
      </c>
    </row>
    <row r="91" spans="1:13">
      <c r="B91" s="5" t="s">
        <v>40</v>
      </c>
    </row>
    <row r="92" spans="1:13" ht="15.95">
      <c r="A92" s="102" t="s">
        <v>670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</row>
    <row r="93" spans="1:13">
      <c r="A93" s="13" t="s">
        <v>15</v>
      </c>
      <c r="B93" s="11" t="s">
        <v>1753</v>
      </c>
      <c r="C93" s="11" t="s">
        <v>1754</v>
      </c>
      <c r="D93" s="11" t="s">
        <v>1755</v>
      </c>
      <c r="E93" s="11" t="str">
        <f>"0,6142"</f>
        <v>0,6142</v>
      </c>
      <c r="F93" s="11" t="s">
        <v>79</v>
      </c>
      <c r="G93" s="21" t="s">
        <v>1078</v>
      </c>
      <c r="H93" s="21" t="s">
        <v>1078</v>
      </c>
      <c r="I93" s="12" t="s">
        <v>1078</v>
      </c>
      <c r="J93" s="13"/>
      <c r="K93" s="37" t="str">
        <f>"315,0"</f>
        <v>315,0</v>
      </c>
      <c r="L93" s="13" t="str">
        <f>"193,4730"</f>
        <v>193,4730</v>
      </c>
      <c r="M93" s="11" t="s">
        <v>158</v>
      </c>
    </row>
    <row r="94" spans="1:13">
      <c r="A94" s="17" t="s">
        <v>62</v>
      </c>
      <c r="B94" s="14" t="s">
        <v>1759</v>
      </c>
      <c r="C94" s="14" t="s">
        <v>1760</v>
      </c>
      <c r="D94" s="14" t="s">
        <v>1137</v>
      </c>
      <c r="E94" s="14" t="str">
        <f>"0,6163"</f>
        <v>0,6163</v>
      </c>
      <c r="F94" s="14" t="s">
        <v>1761</v>
      </c>
      <c r="G94" s="15" t="s">
        <v>523</v>
      </c>
      <c r="H94" s="15" t="s">
        <v>822</v>
      </c>
      <c r="I94" s="16" t="s">
        <v>1043</v>
      </c>
      <c r="J94" s="17"/>
      <c r="K94" s="40" t="str">
        <f>"290,0"</f>
        <v>290,0</v>
      </c>
      <c r="L94" s="17" t="str">
        <f>"178,7270"</f>
        <v>178,7270</v>
      </c>
      <c r="M94" s="14" t="s">
        <v>1762</v>
      </c>
    </row>
    <row r="95" spans="1:13">
      <c r="A95" s="17" t="s">
        <v>15</v>
      </c>
      <c r="B95" s="14" t="s">
        <v>1776</v>
      </c>
      <c r="C95" s="14" t="s">
        <v>1777</v>
      </c>
      <c r="D95" s="14" t="s">
        <v>1827</v>
      </c>
      <c r="E95" s="14" t="str">
        <f>"0,6116"</f>
        <v>0,6116</v>
      </c>
      <c r="F95" s="14" t="s">
        <v>1694</v>
      </c>
      <c r="G95" s="15" t="s">
        <v>1086</v>
      </c>
      <c r="H95" s="15" t="s">
        <v>1151</v>
      </c>
      <c r="I95" s="15" t="s">
        <v>842</v>
      </c>
      <c r="J95" s="17"/>
      <c r="K95" s="40" t="str">
        <f>"340,0"</f>
        <v>340,0</v>
      </c>
      <c r="L95" s="17" t="str">
        <f>"207,9440"</f>
        <v>207,9440</v>
      </c>
      <c r="M95" s="14" t="s">
        <v>4529</v>
      </c>
    </row>
    <row r="96" spans="1:13">
      <c r="A96" s="17" t="s">
        <v>62</v>
      </c>
      <c r="B96" s="14" t="s">
        <v>1825</v>
      </c>
      <c r="C96" s="14" t="s">
        <v>1826</v>
      </c>
      <c r="D96" s="14" t="s">
        <v>1827</v>
      </c>
      <c r="E96" s="14" t="str">
        <f>"0,6116"</f>
        <v>0,6116</v>
      </c>
      <c r="F96" s="14" t="s">
        <v>176</v>
      </c>
      <c r="G96" s="16" t="s">
        <v>851</v>
      </c>
      <c r="H96" s="15" t="s">
        <v>851</v>
      </c>
      <c r="I96" s="16" t="s">
        <v>853</v>
      </c>
      <c r="J96" s="17"/>
      <c r="K96" s="40" t="str">
        <f>"337,5"</f>
        <v>337,5</v>
      </c>
      <c r="L96" s="17" t="str">
        <f>"206,4150"</f>
        <v>206,4150</v>
      </c>
      <c r="M96" s="14" t="s">
        <v>1829</v>
      </c>
    </row>
    <row r="97" spans="1:13">
      <c r="A97" s="17" t="s">
        <v>73</v>
      </c>
      <c r="B97" s="14" t="s">
        <v>1772</v>
      </c>
      <c r="C97" s="14" t="s">
        <v>1773</v>
      </c>
      <c r="D97" s="14" t="s">
        <v>1774</v>
      </c>
      <c r="E97" s="14" t="str">
        <f>"0,6226"</f>
        <v>0,6226</v>
      </c>
      <c r="F97" s="14" t="s">
        <v>633</v>
      </c>
      <c r="G97" s="15" t="s">
        <v>1087</v>
      </c>
      <c r="H97" s="16" t="s">
        <v>1141</v>
      </c>
      <c r="I97" s="16" t="s">
        <v>1141</v>
      </c>
      <c r="J97" s="17"/>
      <c r="K97" s="40" t="str">
        <f>"335,0"</f>
        <v>335,0</v>
      </c>
      <c r="L97" s="17" t="str">
        <f>"208,5710"</f>
        <v>208,5710</v>
      </c>
      <c r="M97" s="14" t="s">
        <v>1617</v>
      </c>
    </row>
    <row r="98" spans="1:13">
      <c r="A98" s="17" t="s">
        <v>75</v>
      </c>
      <c r="B98" s="14" t="s">
        <v>1143</v>
      </c>
      <c r="C98" s="14" t="s">
        <v>1144</v>
      </c>
      <c r="D98" s="14" t="s">
        <v>677</v>
      </c>
      <c r="E98" s="14" t="str">
        <f>"0,6098"</f>
        <v>0,6098</v>
      </c>
      <c r="F98" s="14" t="s">
        <v>125</v>
      </c>
      <c r="G98" s="16" t="s">
        <v>839</v>
      </c>
      <c r="H98" s="15" t="s">
        <v>1087</v>
      </c>
      <c r="I98" s="16" t="s">
        <v>1142</v>
      </c>
      <c r="J98" s="17"/>
      <c r="K98" s="40" t="str">
        <f>"335,0"</f>
        <v>335,0</v>
      </c>
      <c r="L98" s="17" t="str">
        <f>"204,2830"</f>
        <v>204,2830</v>
      </c>
      <c r="M98" s="14" t="s">
        <v>158</v>
      </c>
    </row>
    <row r="99" spans="1:13">
      <c r="A99" s="17" t="s">
        <v>87</v>
      </c>
      <c r="B99" s="14" t="s">
        <v>1734</v>
      </c>
      <c r="C99" s="14" t="s">
        <v>1735</v>
      </c>
      <c r="D99" s="14" t="s">
        <v>4538</v>
      </c>
      <c r="E99" s="14" t="str">
        <f>"0,6325"</f>
        <v>0,6325</v>
      </c>
      <c r="F99" s="14" t="s">
        <v>1694</v>
      </c>
      <c r="G99" s="16" t="s">
        <v>1043</v>
      </c>
      <c r="H99" s="15" t="s">
        <v>805</v>
      </c>
      <c r="I99" s="15" t="s">
        <v>1928</v>
      </c>
      <c r="J99" s="17"/>
      <c r="K99" s="40" t="str">
        <f>"332,5"</f>
        <v>332,5</v>
      </c>
      <c r="L99" s="17" t="str">
        <f>"210,3062"</f>
        <v>210,3062</v>
      </c>
      <c r="M99" s="14" t="s">
        <v>158</v>
      </c>
    </row>
    <row r="100" spans="1:13">
      <c r="A100" s="17" t="s">
        <v>168</v>
      </c>
      <c r="B100" s="14" t="s">
        <v>4539</v>
      </c>
      <c r="C100" s="14" t="s">
        <v>4540</v>
      </c>
      <c r="D100" s="14" t="s">
        <v>1755</v>
      </c>
      <c r="E100" s="14" t="str">
        <f>"0,6142"</f>
        <v>0,6142</v>
      </c>
      <c r="F100" s="14" t="s">
        <v>1922</v>
      </c>
      <c r="G100" s="15" t="s">
        <v>804</v>
      </c>
      <c r="H100" s="15" t="s">
        <v>1043</v>
      </c>
      <c r="I100" s="15" t="s">
        <v>1086</v>
      </c>
      <c r="J100" s="17"/>
      <c r="K100" s="40" t="str">
        <f>"320,0"</f>
        <v>320,0</v>
      </c>
      <c r="L100" s="17" t="str">
        <f>"196,5440"</f>
        <v>196,5440</v>
      </c>
      <c r="M100" s="14" t="s">
        <v>158</v>
      </c>
    </row>
    <row r="101" spans="1:13">
      <c r="A101" s="17" t="s">
        <v>172</v>
      </c>
      <c r="B101" s="14" t="s">
        <v>4541</v>
      </c>
      <c r="C101" s="14" t="s">
        <v>4542</v>
      </c>
      <c r="D101" s="14" t="s">
        <v>1521</v>
      </c>
      <c r="E101" s="14" t="str">
        <f>"0,6172"</f>
        <v>0,6172</v>
      </c>
      <c r="F101" s="14" t="s">
        <v>1646</v>
      </c>
      <c r="G101" s="15" t="s">
        <v>1078</v>
      </c>
      <c r="H101" s="16" t="s">
        <v>839</v>
      </c>
      <c r="I101" s="16" t="s">
        <v>839</v>
      </c>
      <c r="J101" s="17"/>
      <c r="K101" s="40" t="str">
        <f>"315,0"</f>
        <v>315,0</v>
      </c>
      <c r="L101" s="17" t="str">
        <f>"194,4180"</f>
        <v>194,4180</v>
      </c>
      <c r="M101" s="14" t="s">
        <v>158</v>
      </c>
    </row>
    <row r="102" spans="1:13">
      <c r="A102" s="17" t="s">
        <v>178</v>
      </c>
      <c r="B102" s="14" t="s">
        <v>1753</v>
      </c>
      <c r="C102" s="14" t="s">
        <v>1775</v>
      </c>
      <c r="D102" s="14" t="s">
        <v>1755</v>
      </c>
      <c r="E102" s="14" t="str">
        <f>"0,6142"</f>
        <v>0,6142</v>
      </c>
      <c r="F102" s="14" t="s">
        <v>79</v>
      </c>
      <c r="G102" s="16" t="s">
        <v>1078</v>
      </c>
      <c r="H102" s="16" t="s">
        <v>1078</v>
      </c>
      <c r="I102" s="15" t="s">
        <v>1078</v>
      </c>
      <c r="J102" s="17"/>
      <c r="K102" s="40" t="str">
        <f>"315,0"</f>
        <v>315,0</v>
      </c>
      <c r="L102" s="17" t="str">
        <f>"193,4730"</f>
        <v>193,4730</v>
      </c>
      <c r="M102" s="14" t="s">
        <v>158</v>
      </c>
    </row>
    <row r="103" spans="1:13">
      <c r="A103" s="17" t="s">
        <v>183</v>
      </c>
      <c r="B103" s="14" t="s">
        <v>1785</v>
      </c>
      <c r="C103" s="14" t="s">
        <v>1786</v>
      </c>
      <c r="D103" s="14" t="s">
        <v>1193</v>
      </c>
      <c r="E103" s="14" t="str">
        <f>"0,6131"</f>
        <v>0,6131</v>
      </c>
      <c r="F103" s="14" t="s">
        <v>4543</v>
      </c>
      <c r="G103" s="15" t="s">
        <v>822</v>
      </c>
      <c r="H103" s="15" t="s">
        <v>824</v>
      </c>
      <c r="I103" s="16" t="s">
        <v>1086</v>
      </c>
      <c r="J103" s="17"/>
      <c r="K103" s="40" t="str">
        <f>"312,5"</f>
        <v>312,5</v>
      </c>
      <c r="L103" s="17" t="str">
        <f>"191,5937"</f>
        <v>191,5937</v>
      </c>
      <c r="M103" s="14" t="s">
        <v>1788</v>
      </c>
    </row>
    <row r="104" spans="1:13">
      <c r="A104" s="17" t="s">
        <v>186</v>
      </c>
      <c r="B104" s="14" t="s">
        <v>4544</v>
      </c>
      <c r="C104" s="14" t="s">
        <v>4545</v>
      </c>
      <c r="D104" s="14" t="s">
        <v>704</v>
      </c>
      <c r="E104" s="14" t="str">
        <f>"0,6191"</f>
        <v>0,6191</v>
      </c>
      <c r="F104" s="14" t="s">
        <v>91</v>
      </c>
      <c r="G104" s="15" t="s">
        <v>491</v>
      </c>
      <c r="H104" s="15" t="s">
        <v>745</v>
      </c>
      <c r="I104" s="15" t="s">
        <v>804</v>
      </c>
      <c r="J104" s="17"/>
      <c r="K104" s="40" t="str">
        <f>"300,0"</f>
        <v>300,0</v>
      </c>
      <c r="L104" s="17" t="str">
        <f>"185,7300"</f>
        <v>185,7300</v>
      </c>
      <c r="M104" s="14" t="s">
        <v>4546</v>
      </c>
    </row>
    <row r="105" spans="1:13">
      <c r="A105" s="17" t="s">
        <v>556</v>
      </c>
      <c r="B105" s="14" t="s">
        <v>4547</v>
      </c>
      <c r="C105" s="14" t="s">
        <v>4548</v>
      </c>
      <c r="D105" s="14" t="s">
        <v>694</v>
      </c>
      <c r="E105" s="14" t="str">
        <f>"0,6134"</f>
        <v>0,6134</v>
      </c>
      <c r="F105" s="14" t="s">
        <v>119</v>
      </c>
      <c r="G105" s="16" t="s">
        <v>754</v>
      </c>
      <c r="H105" s="15" t="s">
        <v>754</v>
      </c>
      <c r="I105" s="16" t="s">
        <v>745</v>
      </c>
      <c r="J105" s="17"/>
      <c r="K105" s="40" t="str">
        <f>"275,0"</f>
        <v>275,0</v>
      </c>
      <c r="L105" s="17" t="str">
        <f>"168,6850"</f>
        <v>168,6850</v>
      </c>
      <c r="M105" s="14" t="s">
        <v>158</v>
      </c>
    </row>
    <row r="106" spans="1:13">
      <c r="A106" s="17" t="s">
        <v>559</v>
      </c>
      <c r="B106" s="14" t="s">
        <v>1205</v>
      </c>
      <c r="C106" s="14" t="s">
        <v>4549</v>
      </c>
      <c r="D106" s="14" t="s">
        <v>708</v>
      </c>
      <c r="E106" s="14" t="str">
        <f>"0,6086"</f>
        <v>0,6086</v>
      </c>
      <c r="F106" s="14" t="s">
        <v>1207</v>
      </c>
      <c r="G106" s="15" t="s">
        <v>529</v>
      </c>
      <c r="H106" s="15" t="s">
        <v>640</v>
      </c>
      <c r="I106" s="16" t="s">
        <v>1005</v>
      </c>
      <c r="J106" s="17"/>
      <c r="K106" s="40" t="str">
        <f>"270,0"</f>
        <v>270,0</v>
      </c>
      <c r="L106" s="17" t="str">
        <f>"164,3220"</f>
        <v>164,3220</v>
      </c>
      <c r="M106" s="14" t="s">
        <v>158</v>
      </c>
    </row>
    <row r="107" spans="1:13">
      <c r="A107" s="17" t="s">
        <v>564</v>
      </c>
      <c r="B107" s="14" t="s">
        <v>1814</v>
      </c>
      <c r="C107" s="14" t="s">
        <v>1815</v>
      </c>
      <c r="D107" s="14" t="s">
        <v>1816</v>
      </c>
      <c r="E107" s="14" t="str">
        <f>"0,6229"</f>
        <v>0,6229</v>
      </c>
      <c r="F107" s="14" t="s">
        <v>1817</v>
      </c>
      <c r="G107" s="15" t="s">
        <v>421</v>
      </c>
      <c r="H107" s="15" t="s">
        <v>422</v>
      </c>
      <c r="I107" s="16" t="s">
        <v>627</v>
      </c>
      <c r="J107" s="17"/>
      <c r="K107" s="40" t="str">
        <f>"240,0"</f>
        <v>240,0</v>
      </c>
      <c r="L107" s="17" t="str">
        <f>"149,4960"</f>
        <v>149,4960</v>
      </c>
      <c r="M107" s="14" t="s">
        <v>799</v>
      </c>
    </row>
    <row r="108" spans="1:13">
      <c r="A108" s="17" t="s">
        <v>569</v>
      </c>
      <c r="B108" s="14" t="s">
        <v>4550</v>
      </c>
      <c r="C108" s="14" t="s">
        <v>4551</v>
      </c>
      <c r="D108" s="14" t="s">
        <v>711</v>
      </c>
      <c r="E108" s="14" t="str">
        <f>"0,6091"</f>
        <v>0,6091</v>
      </c>
      <c r="F108" s="14" t="s">
        <v>4552</v>
      </c>
      <c r="G108" s="15" t="s">
        <v>422</v>
      </c>
      <c r="H108" s="16" t="s">
        <v>490</v>
      </c>
      <c r="I108" s="16" t="s">
        <v>490</v>
      </c>
      <c r="J108" s="17"/>
      <c r="K108" s="40" t="str">
        <f>"240,0"</f>
        <v>240,0</v>
      </c>
      <c r="L108" s="17" t="str">
        <f>"146,1840"</f>
        <v>146,1840</v>
      </c>
      <c r="M108" s="14" t="s">
        <v>158</v>
      </c>
    </row>
    <row r="109" spans="1:13">
      <c r="A109" s="17" t="s">
        <v>572</v>
      </c>
      <c r="B109" s="14" t="s">
        <v>1188</v>
      </c>
      <c r="C109" s="14" t="s">
        <v>1189</v>
      </c>
      <c r="D109" s="14" t="s">
        <v>723</v>
      </c>
      <c r="E109" s="14" t="str">
        <f>"0,6177"</f>
        <v>0,6177</v>
      </c>
      <c r="F109" s="14" t="s">
        <v>961</v>
      </c>
      <c r="G109" s="15" t="s">
        <v>60</v>
      </c>
      <c r="H109" s="15" t="s">
        <v>452</v>
      </c>
      <c r="I109" s="15" t="s">
        <v>420</v>
      </c>
      <c r="J109" s="17"/>
      <c r="K109" s="40" t="str">
        <f>"220,0"</f>
        <v>220,0</v>
      </c>
      <c r="L109" s="17" t="str">
        <f>"135,8940"</f>
        <v>135,8940</v>
      </c>
      <c r="M109" s="14" t="s">
        <v>158</v>
      </c>
    </row>
    <row r="110" spans="1:13">
      <c r="A110" s="17" t="s">
        <v>577</v>
      </c>
      <c r="B110" s="14" t="s">
        <v>1822</v>
      </c>
      <c r="C110" s="14" t="s">
        <v>1823</v>
      </c>
      <c r="D110" s="14" t="s">
        <v>1193</v>
      </c>
      <c r="E110" s="14" t="str">
        <f>"0,6131"</f>
        <v>0,6131</v>
      </c>
      <c r="F110" s="14" t="s">
        <v>1824</v>
      </c>
      <c r="G110" s="16" t="s">
        <v>374</v>
      </c>
      <c r="H110" s="16" t="s">
        <v>420</v>
      </c>
      <c r="I110" s="15" t="s">
        <v>420</v>
      </c>
      <c r="J110" s="17"/>
      <c r="K110" s="40" t="str">
        <f>"220,0"</f>
        <v>220,0</v>
      </c>
      <c r="L110" s="17" t="str">
        <f>"134,8820"</f>
        <v>134,8820</v>
      </c>
      <c r="M110" s="14" t="s">
        <v>158</v>
      </c>
    </row>
    <row r="111" spans="1:13">
      <c r="A111" s="17" t="s">
        <v>92</v>
      </c>
      <c r="B111" s="14" t="s">
        <v>4553</v>
      </c>
      <c r="C111" s="14" t="s">
        <v>4554</v>
      </c>
      <c r="D111" s="14" t="s">
        <v>4555</v>
      </c>
      <c r="E111" s="14" t="str">
        <f>"0,6180"</f>
        <v>0,6180</v>
      </c>
      <c r="F111" s="14" t="s">
        <v>920</v>
      </c>
      <c r="G111" s="16" t="s">
        <v>1043</v>
      </c>
      <c r="H111" s="16" t="s">
        <v>1086</v>
      </c>
      <c r="I111" s="16" t="s">
        <v>1086</v>
      </c>
      <c r="J111" s="17"/>
      <c r="K111" s="40">
        <v>0</v>
      </c>
      <c r="L111" s="17" t="str">
        <f>"0,0000"</f>
        <v>0,0000</v>
      </c>
      <c r="M111" s="14" t="s">
        <v>158</v>
      </c>
    </row>
    <row r="112" spans="1:13">
      <c r="A112" s="17" t="s">
        <v>92</v>
      </c>
      <c r="B112" s="14" t="s">
        <v>4556</v>
      </c>
      <c r="C112" s="14" t="s">
        <v>4557</v>
      </c>
      <c r="D112" s="14" t="s">
        <v>2146</v>
      </c>
      <c r="E112" s="14" t="str">
        <f>"0,6101"</f>
        <v>0,6101</v>
      </c>
      <c r="F112" s="14" t="s">
        <v>176</v>
      </c>
      <c r="G112" s="16" t="s">
        <v>822</v>
      </c>
      <c r="H112" s="16" t="s">
        <v>804</v>
      </c>
      <c r="I112" s="16" t="s">
        <v>804</v>
      </c>
      <c r="J112" s="17"/>
      <c r="K112" s="40">
        <v>0</v>
      </c>
      <c r="L112" s="17" t="str">
        <f>"0,0000"</f>
        <v>0,0000</v>
      </c>
      <c r="M112" s="14" t="s">
        <v>158</v>
      </c>
    </row>
    <row r="113" spans="1:13">
      <c r="A113" s="17" t="s">
        <v>15</v>
      </c>
      <c r="B113" s="14" t="s">
        <v>4558</v>
      </c>
      <c r="C113" s="14" t="s">
        <v>4559</v>
      </c>
      <c r="D113" s="14" t="s">
        <v>673</v>
      </c>
      <c r="E113" s="14" t="str">
        <f>"0,6136"</f>
        <v>0,6136</v>
      </c>
      <c r="F113" s="14" t="s">
        <v>1481</v>
      </c>
      <c r="G113" s="15" t="s">
        <v>1030</v>
      </c>
      <c r="H113" s="15" t="s">
        <v>1078</v>
      </c>
      <c r="I113" s="16" t="s">
        <v>1086</v>
      </c>
      <c r="J113" s="17"/>
      <c r="K113" s="40" t="str">
        <f>"315,0"</f>
        <v>315,0</v>
      </c>
      <c r="L113" s="17" t="str">
        <f>"198,6960"</f>
        <v>198,6960</v>
      </c>
      <c r="M113" s="14" t="s">
        <v>158</v>
      </c>
    </row>
    <row r="114" spans="1:13">
      <c r="A114" s="17" t="s">
        <v>15</v>
      </c>
      <c r="B114" s="14" t="s">
        <v>1205</v>
      </c>
      <c r="C114" s="14" t="s">
        <v>1206</v>
      </c>
      <c r="D114" s="14" t="s">
        <v>708</v>
      </c>
      <c r="E114" s="14" t="str">
        <f>"0,6086"</f>
        <v>0,6086</v>
      </c>
      <c r="F114" s="14" t="s">
        <v>1207</v>
      </c>
      <c r="G114" s="15" t="s">
        <v>529</v>
      </c>
      <c r="H114" s="15" t="s">
        <v>640</v>
      </c>
      <c r="I114" s="16" t="s">
        <v>1005</v>
      </c>
      <c r="J114" s="17"/>
      <c r="K114" s="40" t="str">
        <f>"270,0"</f>
        <v>270,0</v>
      </c>
      <c r="L114" s="17" t="str">
        <f>"205,4025"</f>
        <v>205,4025</v>
      </c>
      <c r="M114" s="14" t="s">
        <v>158</v>
      </c>
    </row>
    <row r="115" spans="1:13">
      <c r="A115" s="17" t="s">
        <v>62</v>
      </c>
      <c r="B115" s="14" t="s">
        <v>4560</v>
      </c>
      <c r="C115" s="14" t="s">
        <v>4561</v>
      </c>
      <c r="D115" s="14" t="s">
        <v>1765</v>
      </c>
      <c r="E115" s="14" t="str">
        <f>"0,6096"</f>
        <v>0,6096</v>
      </c>
      <c r="F115" s="14" t="s">
        <v>2792</v>
      </c>
      <c r="G115" s="15" t="s">
        <v>422</v>
      </c>
      <c r="H115" s="15" t="s">
        <v>490</v>
      </c>
      <c r="I115" s="15" t="s">
        <v>628</v>
      </c>
      <c r="J115" s="15" t="s">
        <v>744</v>
      </c>
      <c r="K115" s="40" t="str">
        <f>"267,5"</f>
        <v>267,5</v>
      </c>
      <c r="L115" s="17" t="str">
        <f>"193,5617"</f>
        <v>193,5617</v>
      </c>
      <c r="M115" s="14" t="s">
        <v>4562</v>
      </c>
    </row>
    <row r="116" spans="1:13">
      <c r="A116" s="20" t="s">
        <v>73</v>
      </c>
      <c r="B116" s="18" t="s">
        <v>4563</v>
      </c>
      <c r="C116" s="18" t="s">
        <v>4564</v>
      </c>
      <c r="D116" s="18" t="s">
        <v>1130</v>
      </c>
      <c r="E116" s="18" t="str">
        <f>"0,6188"</f>
        <v>0,6188</v>
      </c>
      <c r="F116" s="18" t="s">
        <v>426</v>
      </c>
      <c r="G116" s="19" t="s">
        <v>442</v>
      </c>
      <c r="H116" s="19" t="s">
        <v>459</v>
      </c>
      <c r="I116" s="19" t="s">
        <v>422</v>
      </c>
      <c r="J116" s="20"/>
      <c r="K116" s="38" t="str">
        <f>"240,0"</f>
        <v>240,0</v>
      </c>
      <c r="L116" s="20" t="str">
        <f>"196,3329"</f>
        <v>196,3329</v>
      </c>
      <c r="M116" s="18" t="s">
        <v>4565</v>
      </c>
    </row>
    <row r="117" spans="1:13">
      <c r="B117" s="5" t="s">
        <v>40</v>
      </c>
    </row>
    <row r="118" spans="1:13" ht="15.95">
      <c r="A118" s="102" t="s">
        <v>724</v>
      </c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</row>
    <row r="119" spans="1:13">
      <c r="A119" s="13" t="s">
        <v>15</v>
      </c>
      <c r="B119" s="11" t="s">
        <v>1219</v>
      </c>
      <c r="C119" s="11" t="s">
        <v>1220</v>
      </c>
      <c r="D119" s="11" t="s">
        <v>779</v>
      </c>
      <c r="E119" s="11" t="str">
        <f>"0,5919"</f>
        <v>0,5919</v>
      </c>
      <c r="F119" s="11" t="s">
        <v>1221</v>
      </c>
      <c r="G119" s="12" t="s">
        <v>523</v>
      </c>
      <c r="H119" s="12" t="s">
        <v>754</v>
      </c>
      <c r="I119" s="12" t="s">
        <v>738</v>
      </c>
      <c r="J119" s="13"/>
      <c r="K119" s="37" t="str">
        <f>"280,0"</f>
        <v>280,0</v>
      </c>
      <c r="L119" s="13" t="str">
        <f>"165,7320"</f>
        <v>165,7320</v>
      </c>
      <c r="M119" s="11" t="s">
        <v>223</v>
      </c>
    </row>
    <row r="120" spans="1:13">
      <c r="A120" s="17" t="s">
        <v>62</v>
      </c>
      <c r="B120" s="14" t="s">
        <v>1222</v>
      </c>
      <c r="C120" s="14" t="s">
        <v>1223</v>
      </c>
      <c r="D120" s="14" t="s">
        <v>762</v>
      </c>
      <c r="E120" s="14" t="str">
        <f>"0,5912"</f>
        <v>0,5912</v>
      </c>
      <c r="F120" s="14" t="s">
        <v>1224</v>
      </c>
      <c r="G120" s="15" t="s">
        <v>420</v>
      </c>
      <c r="H120" s="15" t="s">
        <v>421</v>
      </c>
      <c r="I120" s="15" t="s">
        <v>422</v>
      </c>
      <c r="J120" s="17"/>
      <c r="K120" s="40" t="str">
        <f>"240,0"</f>
        <v>240,0</v>
      </c>
      <c r="L120" s="17" t="str">
        <f>"141,8880"</f>
        <v>141,8880</v>
      </c>
      <c r="M120" s="14" t="s">
        <v>1225</v>
      </c>
    </row>
    <row r="121" spans="1:13">
      <c r="A121" s="17" t="s">
        <v>15</v>
      </c>
      <c r="B121" s="14" t="s">
        <v>4566</v>
      </c>
      <c r="C121" s="14" t="s">
        <v>4567</v>
      </c>
      <c r="D121" s="14" t="s">
        <v>1257</v>
      </c>
      <c r="E121" s="14" t="str">
        <f>"0,5892"</f>
        <v>0,5892</v>
      </c>
      <c r="F121" s="14" t="s">
        <v>1694</v>
      </c>
      <c r="G121" s="15" t="s">
        <v>1345</v>
      </c>
      <c r="H121" s="15" t="s">
        <v>4568</v>
      </c>
      <c r="I121" s="16" t="s">
        <v>4569</v>
      </c>
      <c r="J121" s="17"/>
      <c r="K121" s="40" t="str">
        <f>"402,5"</f>
        <v>402,5</v>
      </c>
      <c r="L121" s="17" t="str">
        <f>"237,1530"</f>
        <v>237,1530</v>
      </c>
      <c r="M121" s="14" t="s">
        <v>4529</v>
      </c>
    </row>
    <row r="122" spans="1:13">
      <c r="A122" s="17" t="s">
        <v>62</v>
      </c>
      <c r="B122" s="14" t="s">
        <v>4570</v>
      </c>
      <c r="C122" s="14" t="s">
        <v>4571</v>
      </c>
      <c r="D122" s="14" t="s">
        <v>1858</v>
      </c>
      <c r="E122" s="14" t="str">
        <f>"0,5933"</f>
        <v>0,5933</v>
      </c>
      <c r="F122" s="14" t="s">
        <v>4423</v>
      </c>
      <c r="G122" s="15" t="s">
        <v>1087</v>
      </c>
      <c r="H122" s="15" t="s">
        <v>1292</v>
      </c>
      <c r="I122" s="16" t="s">
        <v>1229</v>
      </c>
      <c r="J122" s="17"/>
      <c r="K122" s="40" t="str">
        <f>"345,0"</f>
        <v>345,0</v>
      </c>
      <c r="L122" s="17" t="str">
        <f>"204,6885"</f>
        <v>204,6885</v>
      </c>
      <c r="M122" s="14" t="s">
        <v>4572</v>
      </c>
    </row>
    <row r="123" spans="1:13">
      <c r="A123" s="17" t="s">
        <v>73</v>
      </c>
      <c r="B123" s="14" t="s">
        <v>4573</v>
      </c>
      <c r="C123" s="14" t="s">
        <v>4574</v>
      </c>
      <c r="D123" s="14" t="s">
        <v>4575</v>
      </c>
      <c r="E123" s="14" t="str">
        <f>"0,5982"</f>
        <v>0,5982</v>
      </c>
      <c r="F123" s="14" t="s">
        <v>4576</v>
      </c>
      <c r="G123" s="15" t="s">
        <v>754</v>
      </c>
      <c r="H123" s="15" t="s">
        <v>1030</v>
      </c>
      <c r="I123" s="15" t="s">
        <v>1087</v>
      </c>
      <c r="J123" s="17"/>
      <c r="K123" s="40" t="str">
        <f>"335,0"</f>
        <v>335,0</v>
      </c>
      <c r="L123" s="17" t="str">
        <f>"200,3970"</f>
        <v>200,3970</v>
      </c>
      <c r="M123" s="14" t="s">
        <v>158</v>
      </c>
    </row>
    <row r="124" spans="1:13">
      <c r="A124" s="17" t="s">
        <v>75</v>
      </c>
      <c r="B124" s="14" t="s">
        <v>4577</v>
      </c>
      <c r="C124" s="14" t="s">
        <v>4578</v>
      </c>
      <c r="D124" s="14" t="s">
        <v>1847</v>
      </c>
      <c r="E124" s="14" t="str">
        <f>"0,5956"</f>
        <v>0,5956</v>
      </c>
      <c r="F124" s="14" t="s">
        <v>222</v>
      </c>
      <c r="G124" s="16" t="s">
        <v>1086</v>
      </c>
      <c r="H124" s="15" t="s">
        <v>1086</v>
      </c>
      <c r="I124" s="15" t="s">
        <v>1087</v>
      </c>
      <c r="J124" s="17"/>
      <c r="K124" s="40" t="str">
        <f>"335,0"</f>
        <v>335,0</v>
      </c>
      <c r="L124" s="17" t="str">
        <f>"199,5260"</f>
        <v>199,5260</v>
      </c>
      <c r="M124" s="14" t="s">
        <v>4579</v>
      </c>
    </row>
    <row r="125" spans="1:13">
      <c r="A125" s="17" t="s">
        <v>87</v>
      </c>
      <c r="B125" s="14" t="s">
        <v>4580</v>
      </c>
      <c r="C125" s="14" t="s">
        <v>4581</v>
      </c>
      <c r="D125" s="14" t="s">
        <v>1240</v>
      </c>
      <c r="E125" s="14" t="str">
        <f>"0,5885"</f>
        <v>0,5885</v>
      </c>
      <c r="F125" s="14" t="s">
        <v>4582</v>
      </c>
      <c r="G125" s="15" t="s">
        <v>738</v>
      </c>
      <c r="H125" s="15" t="s">
        <v>1005</v>
      </c>
      <c r="I125" s="15" t="s">
        <v>1030</v>
      </c>
      <c r="J125" s="17"/>
      <c r="K125" s="40" t="str">
        <f>"305,0"</f>
        <v>305,0</v>
      </c>
      <c r="L125" s="17" t="str">
        <f>"179,4925"</f>
        <v>179,4925</v>
      </c>
      <c r="M125" s="14" t="s">
        <v>4583</v>
      </c>
    </row>
    <row r="126" spans="1:13">
      <c r="A126" s="17" t="s">
        <v>168</v>
      </c>
      <c r="B126" s="14" t="s">
        <v>1247</v>
      </c>
      <c r="C126" s="14" t="s">
        <v>1248</v>
      </c>
      <c r="D126" s="14" t="s">
        <v>1249</v>
      </c>
      <c r="E126" s="14" t="str">
        <f>"0,5902"</f>
        <v>0,5902</v>
      </c>
      <c r="F126" s="14" t="s">
        <v>4584</v>
      </c>
      <c r="G126" s="16" t="s">
        <v>804</v>
      </c>
      <c r="H126" s="15" t="s">
        <v>804</v>
      </c>
      <c r="I126" s="16" t="s">
        <v>1086</v>
      </c>
      <c r="J126" s="17"/>
      <c r="K126" s="40" t="str">
        <f>"300,0"</f>
        <v>300,0</v>
      </c>
      <c r="L126" s="17" t="str">
        <f>"177,0600"</f>
        <v>177,0600</v>
      </c>
      <c r="M126" s="14" t="s">
        <v>158</v>
      </c>
    </row>
    <row r="127" spans="1:13">
      <c r="A127" s="17" t="s">
        <v>172</v>
      </c>
      <c r="B127" s="14" t="s">
        <v>4585</v>
      </c>
      <c r="C127" s="14" t="s">
        <v>4586</v>
      </c>
      <c r="D127" s="14" t="s">
        <v>1253</v>
      </c>
      <c r="E127" s="14" t="str">
        <f>"0,5893"</f>
        <v>0,5893</v>
      </c>
      <c r="F127" s="14" t="s">
        <v>4587</v>
      </c>
      <c r="G127" s="15" t="s">
        <v>1005</v>
      </c>
      <c r="H127" s="16" t="s">
        <v>823</v>
      </c>
      <c r="I127" s="17"/>
      <c r="J127" s="17"/>
      <c r="K127" s="40" t="str">
        <f>"295,0"</f>
        <v>295,0</v>
      </c>
      <c r="L127" s="17" t="str">
        <f>"173,8435"</f>
        <v>173,8435</v>
      </c>
      <c r="M127" s="14" t="s">
        <v>158</v>
      </c>
    </row>
    <row r="128" spans="1:13">
      <c r="A128" s="17" t="s">
        <v>92</v>
      </c>
      <c r="B128" s="14" t="s">
        <v>1879</v>
      </c>
      <c r="C128" s="14" t="s">
        <v>1880</v>
      </c>
      <c r="D128" s="14" t="s">
        <v>1881</v>
      </c>
      <c r="E128" s="14" t="str">
        <f>"0,5976"</f>
        <v>0,5976</v>
      </c>
      <c r="F128" s="14" t="s">
        <v>1882</v>
      </c>
      <c r="G128" s="16" t="s">
        <v>1151</v>
      </c>
      <c r="H128" s="16" t="s">
        <v>1151</v>
      </c>
      <c r="I128" s="16" t="s">
        <v>1151</v>
      </c>
      <c r="J128" s="17"/>
      <c r="K128" s="40">
        <v>0</v>
      </c>
      <c r="L128" s="17" t="str">
        <f>"0,0000"</f>
        <v>0,0000</v>
      </c>
      <c r="M128" s="14" t="s">
        <v>158</v>
      </c>
    </row>
    <row r="129" spans="1:13">
      <c r="A129" s="17" t="s">
        <v>15</v>
      </c>
      <c r="B129" s="14" t="s">
        <v>4588</v>
      </c>
      <c r="C129" s="14" t="s">
        <v>4589</v>
      </c>
      <c r="D129" s="14" t="s">
        <v>2054</v>
      </c>
      <c r="E129" s="14" t="str">
        <f>"0,6076"</f>
        <v>0,6076</v>
      </c>
      <c r="F129" s="14" t="s">
        <v>728</v>
      </c>
      <c r="G129" s="15" t="s">
        <v>422</v>
      </c>
      <c r="H129" s="15" t="s">
        <v>529</v>
      </c>
      <c r="I129" s="16" t="s">
        <v>640</v>
      </c>
      <c r="J129" s="17"/>
      <c r="K129" s="40" t="str">
        <f>"255,0"</f>
        <v>255,0</v>
      </c>
      <c r="L129" s="17" t="str">
        <f>"159,2763"</f>
        <v>159,2763</v>
      </c>
      <c r="M129" s="14" t="s">
        <v>4590</v>
      </c>
    </row>
    <row r="130" spans="1:13">
      <c r="A130" s="17" t="s">
        <v>62</v>
      </c>
      <c r="B130" s="14" t="s">
        <v>4591</v>
      </c>
      <c r="C130" s="14" t="s">
        <v>4592</v>
      </c>
      <c r="D130" s="14" t="s">
        <v>4593</v>
      </c>
      <c r="E130" s="14" t="str">
        <f>"0,5968"</f>
        <v>0,5968</v>
      </c>
      <c r="F130" s="14" t="s">
        <v>1378</v>
      </c>
      <c r="G130" s="15" t="s">
        <v>374</v>
      </c>
      <c r="H130" s="15" t="s">
        <v>420</v>
      </c>
      <c r="I130" s="15" t="s">
        <v>490</v>
      </c>
      <c r="J130" s="17"/>
      <c r="K130" s="40" t="str">
        <f>"250,0"</f>
        <v>250,0</v>
      </c>
      <c r="L130" s="17" t="str">
        <f>"149,9460"</f>
        <v>149,9460</v>
      </c>
      <c r="M130" s="14" t="s">
        <v>4594</v>
      </c>
    </row>
    <row r="131" spans="1:13">
      <c r="A131" s="17" t="s">
        <v>73</v>
      </c>
      <c r="B131" s="14" t="s">
        <v>774</v>
      </c>
      <c r="C131" s="14" t="s">
        <v>775</v>
      </c>
      <c r="D131" s="14" t="s">
        <v>776</v>
      </c>
      <c r="E131" s="14" t="str">
        <f>"0,5910"</f>
        <v>0,5910</v>
      </c>
      <c r="F131" s="14" t="s">
        <v>602</v>
      </c>
      <c r="G131" s="16" t="s">
        <v>374</v>
      </c>
      <c r="H131" s="15" t="s">
        <v>374</v>
      </c>
      <c r="I131" s="16" t="s">
        <v>384</v>
      </c>
      <c r="J131" s="17"/>
      <c r="K131" s="40" t="str">
        <f>"200,0"</f>
        <v>200,0</v>
      </c>
      <c r="L131" s="17" t="str">
        <f>"123,4008"</f>
        <v>123,4008</v>
      </c>
      <c r="M131" s="14" t="s">
        <v>158</v>
      </c>
    </row>
    <row r="132" spans="1:13">
      <c r="A132" s="17" t="s">
        <v>75</v>
      </c>
      <c r="B132" s="14" t="s">
        <v>2261</v>
      </c>
      <c r="C132" s="14" t="s">
        <v>2262</v>
      </c>
      <c r="D132" s="14" t="s">
        <v>1240</v>
      </c>
      <c r="E132" s="14" t="str">
        <f>"0,5885"</f>
        <v>0,5885</v>
      </c>
      <c r="F132" s="14" t="s">
        <v>2263</v>
      </c>
      <c r="G132" s="15" t="s">
        <v>21</v>
      </c>
      <c r="H132" s="17"/>
      <c r="I132" s="17"/>
      <c r="J132" s="17"/>
      <c r="K132" s="40" t="str">
        <f>"40,0"</f>
        <v>40,0</v>
      </c>
      <c r="L132" s="17" t="str">
        <f>"23,5400"</f>
        <v>23,5400</v>
      </c>
      <c r="M132" s="14" t="s">
        <v>158</v>
      </c>
    </row>
    <row r="133" spans="1:13">
      <c r="A133" s="17" t="s">
        <v>15</v>
      </c>
      <c r="B133" s="14" t="s">
        <v>4595</v>
      </c>
      <c r="C133" s="14" t="s">
        <v>4596</v>
      </c>
      <c r="D133" s="14" t="s">
        <v>4575</v>
      </c>
      <c r="E133" s="14" t="str">
        <f>"0,5982"</f>
        <v>0,5982</v>
      </c>
      <c r="F133" s="14" t="s">
        <v>2049</v>
      </c>
      <c r="G133" s="15" t="s">
        <v>422</v>
      </c>
      <c r="H133" s="15" t="s">
        <v>523</v>
      </c>
      <c r="I133" s="15" t="s">
        <v>640</v>
      </c>
      <c r="J133" s="17"/>
      <c r="K133" s="40" t="str">
        <f>"270,0"</f>
        <v>270,0</v>
      </c>
      <c r="L133" s="17" t="str">
        <f>"205,6073"</f>
        <v>205,6073</v>
      </c>
      <c r="M133" s="14" t="s">
        <v>158</v>
      </c>
    </row>
    <row r="134" spans="1:13">
      <c r="A134" s="20" t="s">
        <v>15</v>
      </c>
      <c r="B134" s="18" t="s">
        <v>3699</v>
      </c>
      <c r="C134" s="18" t="s">
        <v>3700</v>
      </c>
      <c r="D134" s="18" t="s">
        <v>2180</v>
      </c>
      <c r="E134" s="18" t="str">
        <f>"0,6006"</f>
        <v>0,6006</v>
      </c>
      <c r="F134" s="18" t="s">
        <v>1522</v>
      </c>
      <c r="G134" s="22" t="s">
        <v>69</v>
      </c>
      <c r="H134" s="19" t="s">
        <v>69</v>
      </c>
      <c r="I134" s="22" t="s">
        <v>70</v>
      </c>
      <c r="J134" s="20"/>
      <c r="K134" s="38" t="str">
        <f>"110,0"</f>
        <v>110,0</v>
      </c>
      <c r="L134" s="20" t="str">
        <f>"130,8107"</f>
        <v>130,8107</v>
      </c>
      <c r="M134" s="18" t="s">
        <v>158</v>
      </c>
    </row>
    <row r="135" spans="1:13">
      <c r="B135" s="5" t="s">
        <v>40</v>
      </c>
    </row>
    <row r="136" spans="1:13" ht="15.95">
      <c r="A136" s="102" t="s">
        <v>783</v>
      </c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</row>
    <row r="137" spans="1:13">
      <c r="A137" s="13" t="s">
        <v>15</v>
      </c>
      <c r="B137" s="11" t="s">
        <v>1901</v>
      </c>
      <c r="C137" s="11" t="s">
        <v>1902</v>
      </c>
      <c r="D137" s="11" t="s">
        <v>1903</v>
      </c>
      <c r="E137" s="11" t="str">
        <f>"0,5872"</f>
        <v>0,5872</v>
      </c>
      <c r="F137" s="11" t="s">
        <v>961</v>
      </c>
      <c r="G137" s="12" t="s">
        <v>436</v>
      </c>
      <c r="H137" s="21" t="s">
        <v>459</v>
      </c>
      <c r="I137" s="12" t="s">
        <v>422</v>
      </c>
      <c r="J137" s="13"/>
      <c r="K137" s="37" t="str">
        <f>"240,0"</f>
        <v>240,0</v>
      </c>
      <c r="L137" s="13" t="str">
        <f>"140,9280"</f>
        <v>140,9280</v>
      </c>
      <c r="M137" s="11" t="s">
        <v>158</v>
      </c>
    </row>
    <row r="138" spans="1:13">
      <c r="A138" s="17" t="s">
        <v>15</v>
      </c>
      <c r="B138" s="14" t="s">
        <v>4597</v>
      </c>
      <c r="C138" s="14" t="s">
        <v>4470</v>
      </c>
      <c r="D138" s="14" t="s">
        <v>1973</v>
      </c>
      <c r="E138" s="14" t="str">
        <f>"0,5819"</f>
        <v>0,5819</v>
      </c>
      <c r="F138" s="14" t="s">
        <v>176</v>
      </c>
      <c r="G138" s="15" t="s">
        <v>1142</v>
      </c>
      <c r="H138" s="16" t="s">
        <v>3829</v>
      </c>
      <c r="I138" s="17"/>
      <c r="J138" s="17"/>
      <c r="K138" s="40" t="str">
        <f>"360,0"</f>
        <v>360,0</v>
      </c>
      <c r="L138" s="17" t="str">
        <f>"209,4840"</f>
        <v>209,4840</v>
      </c>
      <c r="M138" s="14" t="s">
        <v>4495</v>
      </c>
    </row>
    <row r="139" spans="1:13">
      <c r="A139" s="17" t="s">
        <v>62</v>
      </c>
      <c r="B139" s="14" t="s">
        <v>4598</v>
      </c>
      <c r="C139" s="14" t="s">
        <v>4599</v>
      </c>
      <c r="D139" s="14" t="s">
        <v>1962</v>
      </c>
      <c r="E139" s="14" t="str">
        <f>"0,5748"</f>
        <v>0,5748</v>
      </c>
      <c r="F139" s="14" t="s">
        <v>1105</v>
      </c>
      <c r="G139" s="15" t="s">
        <v>1086</v>
      </c>
      <c r="H139" s="15" t="s">
        <v>842</v>
      </c>
      <c r="I139" s="16" t="s">
        <v>1229</v>
      </c>
      <c r="J139" s="17"/>
      <c r="K139" s="40" t="str">
        <f>"340,0"</f>
        <v>340,0</v>
      </c>
      <c r="L139" s="17" t="str">
        <f>"195,4320"</f>
        <v>195,4320</v>
      </c>
      <c r="M139" s="14" t="s">
        <v>158</v>
      </c>
    </row>
    <row r="140" spans="1:13">
      <c r="A140" s="17" t="s">
        <v>73</v>
      </c>
      <c r="B140" s="14" t="s">
        <v>1960</v>
      </c>
      <c r="C140" s="14" t="s">
        <v>1961</v>
      </c>
      <c r="D140" s="14" t="s">
        <v>1962</v>
      </c>
      <c r="E140" s="14" t="str">
        <f>"0,5748"</f>
        <v>0,5748</v>
      </c>
      <c r="F140" s="14" t="s">
        <v>1963</v>
      </c>
      <c r="G140" s="15" t="s">
        <v>1078</v>
      </c>
      <c r="H140" s="15" t="s">
        <v>1151</v>
      </c>
      <c r="I140" s="16" t="s">
        <v>842</v>
      </c>
      <c r="J140" s="17"/>
      <c r="K140" s="40">
        <v>330</v>
      </c>
      <c r="L140" s="42">
        <f>K140*E140</f>
        <v>189.684</v>
      </c>
      <c r="M140" s="14" t="s">
        <v>1964</v>
      </c>
    </row>
    <row r="141" spans="1:13">
      <c r="A141" s="17" t="s">
        <v>75</v>
      </c>
      <c r="B141" s="14" t="s">
        <v>4600</v>
      </c>
      <c r="C141" s="14" t="s">
        <v>4601</v>
      </c>
      <c r="D141" s="14" t="s">
        <v>4602</v>
      </c>
      <c r="E141" s="14" t="str">
        <f>"0,5757"</f>
        <v>0,5757</v>
      </c>
      <c r="F141" s="14" t="s">
        <v>1803</v>
      </c>
      <c r="G141" s="15" t="s">
        <v>804</v>
      </c>
      <c r="H141" s="16" t="s">
        <v>1043</v>
      </c>
      <c r="I141" s="17"/>
      <c r="J141" s="17"/>
      <c r="K141" s="40" t="str">
        <f>"300,0"</f>
        <v>300,0</v>
      </c>
      <c r="L141" s="17" t="str">
        <f>"172,7100"</f>
        <v>172,7100</v>
      </c>
      <c r="M141" s="14" t="s">
        <v>158</v>
      </c>
    </row>
    <row r="142" spans="1:13">
      <c r="A142" s="17" t="s">
        <v>87</v>
      </c>
      <c r="B142" s="14" t="s">
        <v>3478</v>
      </c>
      <c r="C142" s="14" t="s">
        <v>4603</v>
      </c>
      <c r="D142" s="14" t="s">
        <v>2266</v>
      </c>
      <c r="E142" s="14" t="str">
        <f>"0,5769"</f>
        <v>0,5769</v>
      </c>
      <c r="F142" s="14" t="s">
        <v>900</v>
      </c>
      <c r="G142" s="15" t="s">
        <v>1005</v>
      </c>
      <c r="H142" s="16" t="s">
        <v>1194</v>
      </c>
      <c r="I142" s="17"/>
      <c r="J142" s="17"/>
      <c r="K142" s="40" t="str">
        <f>"295,0"</f>
        <v>295,0</v>
      </c>
      <c r="L142" s="17" t="str">
        <f>"170,1855"</f>
        <v>170,1855</v>
      </c>
      <c r="M142" s="14" t="s">
        <v>158</v>
      </c>
    </row>
    <row r="143" spans="1:13">
      <c r="A143" s="17" t="s">
        <v>168</v>
      </c>
      <c r="B143" s="14" t="s">
        <v>4604</v>
      </c>
      <c r="C143" s="14" t="s">
        <v>4605</v>
      </c>
      <c r="D143" s="14" t="s">
        <v>4606</v>
      </c>
      <c r="E143" s="14" t="str">
        <f>"0,5882"</f>
        <v>0,5882</v>
      </c>
      <c r="F143" s="14" t="s">
        <v>2315</v>
      </c>
      <c r="G143" s="15" t="s">
        <v>640</v>
      </c>
      <c r="H143" s="15" t="s">
        <v>822</v>
      </c>
      <c r="I143" s="16" t="s">
        <v>804</v>
      </c>
      <c r="J143" s="17"/>
      <c r="K143" s="40" t="str">
        <f>"290,0"</f>
        <v>290,0</v>
      </c>
      <c r="L143" s="17" t="str">
        <f>"170,5780"</f>
        <v>170,5780</v>
      </c>
      <c r="M143" s="14" t="s">
        <v>4607</v>
      </c>
    </row>
    <row r="144" spans="1:13">
      <c r="A144" s="17" t="s">
        <v>172</v>
      </c>
      <c r="B144" s="14" t="s">
        <v>4608</v>
      </c>
      <c r="C144" s="14" t="s">
        <v>4609</v>
      </c>
      <c r="D144" s="14" t="s">
        <v>1981</v>
      </c>
      <c r="E144" s="14" t="str">
        <f>"0,5846"</f>
        <v>0,5846</v>
      </c>
      <c r="F144" s="14" t="s">
        <v>4610</v>
      </c>
      <c r="G144" s="15" t="s">
        <v>745</v>
      </c>
      <c r="H144" s="16" t="s">
        <v>804</v>
      </c>
      <c r="I144" s="17"/>
      <c r="J144" s="17"/>
      <c r="K144" s="40" t="str">
        <f>"285,0"</f>
        <v>285,0</v>
      </c>
      <c r="L144" s="17" t="str">
        <f>"166,6110"</f>
        <v>166,6110</v>
      </c>
      <c r="M144" s="14" t="s">
        <v>158</v>
      </c>
    </row>
    <row r="145" spans="1:13">
      <c r="A145" s="17" t="s">
        <v>178</v>
      </c>
      <c r="B145" s="14" t="s">
        <v>2278</v>
      </c>
      <c r="C145" s="14" t="s">
        <v>2279</v>
      </c>
      <c r="D145" s="14" t="s">
        <v>1962</v>
      </c>
      <c r="E145" s="14" t="str">
        <f>"0,5748"</f>
        <v>0,5748</v>
      </c>
      <c r="F145" s="14" t="s">
        <v>2280</v>
      </c>
      <c r="G145" s="15" t="s">
        <v>523</v>
      </c>
      <c r="H145" s="15" t="s">
        <v>738</v>
      </c>
      <c r="I145" s="16" t="s">
        <v>804</v>
      </c>
      <c r="J145" s="17"/>
      <c r="K145" s="40" t="str">
        <f>"280,0"</f>
        <v>280,0</v>
      </c>
      <c r="L145" s="17" t="str">
        <f>"160,9440"</f>
        <v>160,9440</v>
      </c>
      <c r="M145" s="14" t="s">
        <v>158</v>
      </c>
    </row>
    <row r="146" spans="1:13">
      <c r="A146" s="17" t="s">
        <v>183</v>
      </c>
      <c r="B146" s="14" t="s">
        <v>4611</v>
      </c>
      <c r="C146" s="14" t="s">
        <v>4612</v>
      </c>
      <c r="D146" s="14" t="s">
        <v>2931</v>
      </c>
      <c r="E146" s="14" t="str">
        <f>"0,5730"</f>
        <v>0,5730</v>
      </c>
      <c r="F146" s="14" t="s">
        <v>91</v>
      </c>
      <c r="G146" s="15" t="s">
        <v>1042</v>
      </c>
      <c r="H146" s="16" t="s">
        <v>822</v>
      </c>
      <c r="I146" s="16" t="s">
        <v>822</v>
      </c>
      <c r="J146" s="17"/>
      <c r="K146" s="40" t="str">
        <f>"262,5"</f>
        <v>262,5</v>
      </c>
      <c r="L146" s="17" t="str">
        <f>"150,4125"</f>
        <v>150,4125</v>
      </c>
      <c r="M146" s="14" t="s">
        <v>4613</v>
      </c>
    </row>
    <row r="147" spans="1:13">
      <c r="A147" s="17" t="s">
        <v>15</v>
      </c>
      <c r="B147" s="14" t="s">
        <v>1938</v>
      </c>
      <c r="C147" s="14" t="s">
        <v>1969</v>
      </c>
      <c r="D147" s="14" t="s">
        <v>1940</v>
      </c>
      <c r="E147" s="14" t="str">
        <f>"0,5719"</f>
        <v>0,5719</v>
      </c>
      <c r="F147" s="14" t="s">
        <v>4614</v>
      </c>
      <c r="G147" s="15" t="s">
        <v>1043</v>
      </c>
      <c r="H147" s="15" t="s">
        <v>1086</v>
      </c>
      <c r="I147" s="16" t="s">
        <v>839</v>
      </c>
      <c r="J147" s="17"/>
      <c r="K147" s="40" t="str">
        <f>"320,0"</f>
        <v>320,0</v>
      </c>
      <c r="L147" s="17" t="str">
        <f>"183,0080"</f>
        <v>183,0080</v>
      </c>
      <c r="M147" s="14" t="s">
        <v>158</v>
      </c>
    </row>
    <row r="148" spans="1:13">
      <c r="A148" s="17" t="s">
        <v>62</v>
      </c>
      <c r="B148" s="14" t="s">
        <v>4615</v>
      </c>
      <c r="C148" s="14" t="s">
        <v>4616</v>
      </c>
      <c r="D148" s="14" t="s">
        <v>4617</v>
      </c>
      <c r="E148" s="14" t="str">
        <f>"0,5761"</f>
        <v>0,5761</v>
      </c>
      <c r="F148" s="14" t="s">
        <v>3825</v>
      </c>
      <c r="G148" s="15" t="s">
        <v>824</v>
      </c>
      <c r="H148" s="16" t="s">
        <v>1928</v>
      </c>
      <c r="I148" s="16" t="s">
        <v>1928</v>
      </c>
      <c r="J148" s="17"/>
      <c r="K148" s="40" t="str">
        <f>"312,5"</f>
        <v>312,5</v>
      </c>
      <c r="L148" s="17" t="str">
        <f>"194,0737"</f>
        <v>194,0737</v>
      </c>
      <c r="M148" s="14" t="s">
        <v>4618</v>
      </c>
    </row>
    <row r="149" spans="1:13">
      <c r="A149" s="17" t="s">
        <v>73</v>
      </c>
      <c r="B149" s="14" t="s">
        <v>3478</v>
      </c>
      <c r="C149" s="14" t="s">
        <v>3479</v>
      </c>
      <c r="D149" s="14" t="s">
        <v>2266</v>
      </c>
      <c r="E149" s="14" t="str">
        <f>"0,5769"</f>
        <v>0,5769</v>
      </c>
      <c r="F149" s="14" t="s">
        <v>900</v>
      </c>
      <c r="G149" s="15" t="s">
        <v>1005</v>
      </c>
      <c r="H149" s="16" t="s">
        <v>1194</v>
      </c>
      <c r="I149" s="17"/>
      <c r="J149" s="17"/>
      <c r="K149" s="40" t="str">
        <f>"295,0"</f>
        <v>295,0</v>
      </c>
      <c r="L149" s="17" t="str">
        <f>"177,6737"</f>
        <v>177,6737</v>
      </c>
      <c r="M149" s="14" t="s">
        <v>158</v>
      </c>
    </row>
    <row r="150" spans="1:13">
      <c r="A150" s="17" t="s">
        <v>75</v>
      </c>
      <c r="B150" s="14" t="s">
        <v>4619</v>
      </c>
      <c r="C150" s="14" t="s">
        <v>4620</v>
      </c>
      <c r="D150" s="14" t="s">
        <v>3833</v>
      </c>
      <c r="E150" s="14" t="str">
        <f>"0,5766"</f>
        <v>0,5766</v>
      </c>
      <c r="F150" s="14" t="s">
        <v>1694</v>
      </c>
      <c r="G150" s="15" t="s">
        <v>374</v>
      </c>
      <c r="H150" s="15" t="s">
        <v>384</v>
      </c>
      <c r="I150" s="15" t="s">
        <v>441</v>
      </c>
      <c r="J150" s="17"/>
      <c r="K150" s="40" t="str">
        <f>"217,5"</f>
        <v>217,5</v>
      </c>
      <c r="L150" s="17" t="str">
        <f>"126,0376"</f>
        <v>126,0376</v>
      </c>
      <c r="M150" s="14" t="s">
        <v>158</v>
      </c>
    </row>
    <row r="151" spans="1:13">
      <c r="A151" s="17" t="s">
        <v>87</v>
      </c>
      <c r="B151" s="14" t="s">
        <v>1971</v>
      </c>
      <c r="C151" s="14" t="s">
        <v>1972</v>
      </c>
      <c r="D151" s="14" t="s">
        <v>1973</v>
      </c>
      <c r="E151" s="14" t="str">
        <f>"0,5819"</f>
        <v>0,5819</v>
      </c>
      <c r="F151" s="14" t="s">
        <v>602</v>
      </c>
      <c r="G151" s="15" t="s">
        <v>384</v>
      </c>
      <c r="H151" s="16" t="s">
        <v>421</v>
      </c>
      <c r="I151" s="16" t="s">
        <v>421</v>
      </c>
      <c r="J151" s="17"/>
      <c r="K151" s="40" t="str">
        <f>"210,0"</f>
        <v>210,0</v>
      </c>
      <c r="L151" s="17" t="str">
        <f>"122,8100"</f>
        <v>122,8100</v>
      </c>
      <c r="M151" s="14" t="s">
        <v>158</v>
      </c>
    </row>
    <row r="152" spans="1:13">
      <c r="A152" s="20" t="s">
        <v>15</v>
      </c>
      <c r="B152" s="18" t="s">
        <v>1979</v>
      </c>
      <c r="C152" s="18" t="s">
        <v>1980</v>
      </c>
      <c r="D152" s="18" t="s">
        <v>1981</v>
      </c>
      <c r="E152" s="18" t="str">
        <f>"0,5846"</f>
        <v>0,5846</v>
      </c>
      <c r="F152" s="18" t="s">
        <v>1238</v>
      </c>
      <c r="G152" s="19" t="s">
        <v>452</v>
      </c>
      <c r="H152" s="19" t="s">
        <v>454</v>
      </c>
      <c r="I152" s="19" t="s">
        <v>374</v>
      </c>
      <c r="J152" s="20"/>
      <c r="K152" s="38" t="str">
        <f>"200,0"</f>
        <v>200,0</v>
      </c>
      <c r="L152" s="20" t="str">
        <f>"161,3496"</f>
        <v>161,3496</v>
      </c>
      <c r="M152" s="18" t="s">
        <v>158</v>
      </c>
    </row>
    <row r="153" spans="1:13">
      <c r="B153" s="5" t="s">
        <v>40</v>
      </c>
    </row>
    <row r="154" spans="1:13" ht="15.95">
      <c r="A154" s="102" t="s">
        <v>794</v>
      </c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</row>
    <row r="155" spans="1:13">
      <c r="A155" s="13" t="s">
        <v>15</v>
      </c>
      <c r="B155" s="11" t="s">
        <v>4621</v>
      </c>
      <c r="C155" s="11" t="s">
        <v>4622</v>
      </c>
      <c r="D155" s="11" t="s">
        <v>4623</v>
      </c>
      <c r="E155" s="11" t="str">
        <f>"0,5673"</f>
        <v>0,5673</v>
      </c>
      <c r="F155" s="11" t="s">
        <v>4624</v>
      </c>
      <c r="G155" s="12" t="s">
        <v>842</v>
      </c>
      <c r="H155" s="12" t="s">
        <v>1141</v>
      </c>
      <c r="I155" s="21" t="s">
        <v>4625</v>
      </c>
      <c r="J155" s="13"/>
      <c r="K155" s="37" t="str">
        <f>"355,0"</f>
        <v>355,0</v>
      </c>
      <c r="L155" s="13" t="str">
        <f>"201,3915"</f>
        <v>201,3915</v>
      </c>
      <c r="M155" s="11" t="s">
        <v>4626</v>
      </c>
    </row>
    <row r="156" spans="1:13">
      <c r="A156" s="17" t="s">
        <v>62</v>
      </c>
      <c r="B156" s="14" t="s">
        <v>1994</v>
      </c>
      <c r="C156" s="14" t="s">
        <v>1995</v>
      </c>
      <c r="D156" s="14" t="s">
        <v>1996</v>
      </c>
      <c r="E156" s="14" t="str">
        <f>"0,5618"</f>
        <v>0,5618</v>
      </c>
      <c r="F156" s="14" t="s">
        <v>1694</v>
      </c>
      <c r="G156" s="15" t="s">
        <v>804</v>
      </c>
      <c r="H156" s="16" t="s">
        <v>1078</v>
      </c>
      <c r="I156" s="15" t="s">
        <v>1078</v>
      </c>
      <c r="J156" s="17"/>
      <c r="K156" s="40" t="str">
        <f>"315,0"</f>
        <v>315,0</v>
      </c>
      <c r="L156" s="17" t="str">
        <f>"176,9670"</f>
        <v>176,9670</v>
      </c>
      <c r="M156" s="14" t="s">
        <v>158</v>
      </c>
    </row>
    <row r="157" spans="1:13">
      <c r="A157" s="17" t="s">
        <v>73</v>
      </c>
      <c r="B157" s="14" t="s">
        <v>4627</v>
      </c>
      <c r="C157" s="14" t="s">
        <v>4628</v>
      </c>
      <c r="D157" s="14" t="s">
        <v>4629</v>
      </c>
      <c r="E157" s="14" t="str">
        <f>"0,5629"</f>
        <v>0,5629</v>
      </c>
      <c r="F157" s="14" t="s">
        <v>4630</v>
      </c>
      <c r="G157" s="15" t="s">
        <v>804</v>
      </c>
      <c r="H157" s="16" t="s">
        <v>1030</v>
      </c>
      <c r="I157" s="17"/>
      <c r="J157" s="17"/>
      <c r="K157" s="40" t="str">
        <f>"300,0"</f>
        <v>300,0</v>
      </c>
      <c r="L157" s="17" t="str">
        <f>"168,8700"</f>
        <v>168,8700</v>
      </c>
      <c r="M157" s="14" t="s">
        <v>158</v>
      </c>
    </row>
    <row r="158" spans="1:13">
      <c r="A158" s="20" t="s">
        <v>15</v>
      </c>
      <c r="B158" s="18" t="s">
        <v>4627</v>
      </c>
      <c r="C158" s="18" t="s">
        <v>4631</v>
      </c>
      <c r="D158" s="18" t="s">
        <v>4629</v>
      </c>
      <c r="E158" s="18" t="str">
        <f>"0,5629"</f>
        <v>0,5629</v>
      </c>
      <c r="F158" s="18" t="s">
        <v>4630</v>
      </c>
      <c r="G158" s="19" t="s">
        <v>804</v>
      </c>
      <c r="H158" s="22" t="s">
        <v>1030</v>
      </c>
      <c r="I158" s="20"/>
      <c r="J158" s="20"/>
      <c r="K158" s="38" t="str">
        <f>"300,0"</f>
        <v>300,0</v>
      </c>
      <c r="L158" s="20" t="str">
        <f>"182,0419"</f>
        <v>182,0419</v>
      </c>
      <c r="M158" s="18" t="s">
        <v>158</v>
      </c>
    </row>
    <row r="159" spans="1:13">
      <c r="B159" s="5" t="s">
        <v>40</v>
      </c>
    </row>
    <row r="160" spans="1:13" ht="15.95">
      <c r="A160" s="102" t="s">
        <v>818</v>
      </c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</row>
    <row r="161" spans="1:13">
      <c r="A161" s="13" t="s">
        <v>15</v>
      </c>
      <c r="B161" s="11" t="s">
        <v>2004</v>
      </c>
      <c r="C161" s="11" t="s">
        <v>2005</v>
      </c>
      <c r="D161" s="11" t="s">
        <v>4632</v>
      </c>
      <c r="E161" s="11" t="str">
        <f>"0,5318"</f>
        <v>0,5318</v>
      </c>
      <c r="F161" s="11" t="s">
        <v>1694</v>
      </c>
      <c r="G161" s="12" t="s">
        <v>640</v>
      </c>
      <c r="H161" s="12" t="s">
        <v>822</v>
      </c>
      <c r="I161" s="12" t="s">
        <v>804</v>
      </c>
      <c r="J161" s="13"/>
      <c r="K161" s="37">
        <v>300</v>
      </c>
      <c r="L161" s="62">
        <f>K161*E161</f>
        <v>159.54000000000002</v>
      </c>
      <c r="M161" s="11" t="s">
        <v>158</v>
      </c>
    </row>
    <row r="162" spans="1:13">
      <c r="A162" s="20" t="s">
        <v>15</v>
      </c>
      <c r="B162" s="18" t="s">
        <v>2007</v>
      </c>
      <c r="C162" s="18" t="s">
        <v>2008</v>
      </c>
      <c r="D162" s="18" t="s">
        <v>2009</v>
      </c>
      <c r="E162" s="18" t="str">
        <f>"0,5543"</f>
        <v>0,5543</v>
      </c>
      <c r="F162" s="18" t="s">
        <v>1824</v>
      </c>
      <c r="G162" s="19" t="s">
        <v>70</v>
      </c>
      <c r="H162" s="19" t="s">
        <v>58</v>
      </c>
      <c r="I162" s="20"/>
      <c r="J162" s="20"/>
      <c r="K162" s="38" t="str">
        <f>"140,0"</f>
        <v>140,0</v>
      </c>
      <c r="L162" s="20" t="str">
        <f>"82,2581"</f>
        <v>82,2581</v>
      </c>
      <c r="M162" s="18" t="s">
        <v>158</v>
      </c>
    </row>
    <row r="163" spans="1:13">
      <c r="B163" s="5" t="s">
        <v>40</v>
      </c>
    </row>
    <row r="166" spans="1:13" ht="18">
      <c r="B166" s="23" t="s">
        <v>830</v>
      </c>
      <c r="C166" s="23"/>
    </row>
    <row r="167" spans="1:13" ht="15.95">
      <c r="B167" s="95" t="s">
        <v>831</v>
      </c>
      <c r="C167" s="95"/>
    </row>
    <row r="168" spans="1:13" ht="14.1">
      <c r="B168" s="24"/>
      <c r="C168" s="24" t="s">
        <v>832</v>
      </c>
    </row>
    <row r="169" spans="1:13" ht="14.1">
      <c r="B169" s="4" t="s">
        <v>833</v>
      </c>
      <c r="C169" s="4" t="s">
        <v>834</v>
      </c>
      <c r="D169" s="4" t="s">
        <v>835</v>
      </c>
      <c r="E169" s="4" t="s">
        <v>2294</v>
      </c>
      <c r="F169" s="4" t="s">
        <v>837</v>
      </c>
    </row>
    <row r="170" spans="1:13">
      <c r="B170" s="5" t="s">
        <v>4457</v>
      </c>
      <c r="C170" s="5" t="s">
        <v>832</v>
      </c>
      <c r="D170" s="6" t="s">
        <v>841</v>
      </c>
      <c r="E170" s="6" t="s">
        <v>452</v>
      </c>
      <c r="F170" s="6" t="s">
        <v>4633</v>
      </c>
    </row>
    <row r="171" spans="1:13">
      <c r="B171" s="5" t="s">
        <v>4481</v>
      </c>
      <c r="C171" s="5" t="s">
        <v>832</v>
      </c>
      <c r="D171" s="6" t="s">
        <v>858</v>
      </c>
      <c r="E171" s="6" t="s">
        <v>459</v>
      </c>
      <c r="F171" s="6" t="s">
        <v>4634</v>
      </c>
    </row>
    <row r="172" spans="1:13">
      <c r="B172" s="5" t="s">
        <v>4465</v>
      </c>
      <c r="C172" s="5" t="s">
        <v>832</v>
      </c>
      <c r="D172" s="6" t="s">
        <v>850</v>
      </c>
      <c r="E172" s="6" t="s">
        <v>398</v>
      </c>
      <c r="F172" s="6" t="s">
        <v>4635</v>
      </c>
    </row>
    <row r="174" spans="1:13" ht="15.95">
      <c r="B174" s="95" t="s">
        <v>855</v>
      </c>
      <c r="C174" s="95"/>
    </row>
    <row r="175" spans="1:13" ht="14.1">
      <c r="B175" s="24"/>
      <c r="C175" s="24" t="s">
        <v>866</v>
      </c>
    </row>
    <row r="176" spans="1:13" ht="14.1">
      <c r="B176" s="4" t="s">
        <v>833</v>
      </c>
      <c r="C176" s="4" t="s">
        <v>834</v>
      </c>
      <c r="D176" s="4" t="s">
        <v>835</v>
      </c>
      <c r="E176" s="4" t="s">
        <v>2294</v>
      </c>
      <c r="F176" s="4" t="s">
        <v>837</v>
      </c>
    </row>
    <row r="177" spans="2:6">
      <c r="B177" s="5" t="s">
        <v>1695</v>
      </c>
      <c r="C177" s="5" t="s">
        <v>866</v>
      </c>
      <c r="D177" s="6" t="s">
        <v>858</v>
      </c>
      <c r="E177" s="6" t="s">
        <v>804</v>
      </c>
      <c r="F177" s="6" t="s">
        <v>4636</v>
      </c>
    </row>
    <row r="178" spans="2:6">
      <c r="B178" s="5" t="s">
        <v>1753</v>
      </c>
      <c r="C178" s="5" t="s">
        <v>866</v>
      </c>
      <c r="D178" s="6" t="s">
        <v>888</v>
      </c>
      <c r="E178" s="6" t="s">
        <v>1078</v>
      </c>
      <c r="F178" s="6" t="s">
        <v>4637</v>
      </c>
    </row>
    <row r="179" spans="2:6">
      <c r="B179" s="5" t="s">
        <v>1636</v>
      </c>
      <c r="C179" s="5" t="s">
        <v>866</v>
      </c>
      <c r="D179" s="6" t="s">
        <v>861</v>
      </c>
      <c r="E179" s="6" t="s">
        <v>529</v>
      </c>
      <c r="F179" s="6" t="s">
        <v>4638</v>
      </c>
    </row>
    <row r="181" spans="2:6" ht="14.1">
      <c r="B181" s="24"/>
      <c r="C181" s="24" t="s">
        <v>832</v>
      </c>
    </row>
    <row r="182" spans="2:6" ht="14.1">
      <c r="B182" s="4" t="s">
        <v>833</v>
      </c>
      <c r="C182" s="4" t="s">
        <v>834</v>
      </c>
      <c r="D182" s="4" t="s">
        <v>835</v>
      </c>
      <c r="E182" s="4" t="s">
        <v>2294</v>
      </c>
      <c r="F182" s="4" t="s">
        <v>837</v>
      </c>
    </row>
    <row r="183" spans="2:6">
      <c r="B183" s="5" t="s">
        <v>4566</v>
      </c>
      <c r="C183" s="5" t="s">
        <v>832</v>
      </c>
      <c r="D183" s="6" t="s">
        <v>1349</v>
      </c>
      <c r="E183" s="6" t="s">
        <v>4568</v>
      </c>
      <c r="F183" s="6" t="s">
        <v>4639</v>
      </c>
    </row>
    <row r="184" spans="2:6">
      <c r="B184" s="5" t="s">
        <v>4502</v>
      </c>
      <c r="C184" s="5" t="s">
        <v>832</v>
      </c>
      <c r="D184" s="6" t="s">
        <v>861</v>
      </c>
      <c r="E184" s="6" t="s">
        <v>1086</v>
      </c>
      <c r="F184" s="6" t="s">
        <v>4640</v>
      </c>
    </row>
    <row r="185" spans="2:6">
      <c r="B185" s="5" t="s">
        <v>4508</v>
      </c>
      <c r="C185" s="5" t="s">
        <v>832</v>
      </c>
      <c r="D185" s="6" t="s">
        <v>868</v>
      </c>
      <c r="E185" s="6" t="s">
        <v>1086</v>
      </c>
      <c r="F185" s="6" t="s">
        <v>4641</v>
      </c>
    </row>
    <row r="187" spans="2:6" ht="14.1">
      <c r="B187" s="24"/>
      <c r="C187" s="24" t="s">
        <v>847</v>
      </c>
    </row>
    <row r="188" spans="2:6" ht="14.1">
      <c r="B188" s="4" t="s">
        <v>833</v>
      </c>
      <c r="C188" s="4" t="s">
        <v>834</v>
      </c>
      <c r="D188" s="4" t="s">
        <v>835</v>
      </c>
      <c r="E188" s="4" t="s">
        <v>2294</v>
      </c>
      <c r="F188" s="4" t="s">
        <v>837</v>
      </c>
    </row>
    <row r="189" spans="2:6">
      <c r="B189" s="5" t="s">
        <v>982</v>
      </c>
      <c r="C189" s="5" t="s">
        <v>1361</v>
      </c>
      <c r="D189" s="6" t="s">
        <v>844</v>
      </c>
      <c r="E189" s="6" t="s">
        <v>205</v>
      </c>
      <c r="F189" s="6" t="s">
        <v>4642</v>
      </c>
    </row>
    <row r="190" spans="2:6">
      <c r="B190" s="5" t="s">
        <v>4497</v>
      </c>
      <c r="C190" s="5" t="s">
        <v>1361</v>
      </c>
      <c r="D190" s="6" t="s">
        <v>844</v>
      </c>
      <c r="E190" s="6" t="s">
        <v>151</v>
      </c>
      <c r="F190" s="6" t="s">
        <v>4643</v>
      </c>
    </row>
    <row r="191" spans="2:6">
      <c r="B191" s="5" t="s">
        <v>4021</v>
      </c>
      <c r="C191" s="5" t="s">
        <v>887</v>
      </c>
      <c r="D191" s="6" t="s">
        <v>858</v>
      </c>
      <c r="E191" s="6" t="s">
        <v>422</v>
      </c>
      <c r="F191" s="6" t="s">
        <v>4644</v>
      </c>
    </row>
    <row r="192" spans="2:6">
      <c r="B192" s="5" t="s">
        <v>40</v>
      </c>
    </row>
  </sheetData>
  <mergeCells count="28">
    <mergeCell ref="A37:L37"/>
    <mergeCell ref="K3:K4"/>
    <mergeCell ref="A5:L5"/>
    <mergeCell ref="A8:L8"/>
    <mergeCell ref="A12:L12"/>
    <mergeCell ref="A16:L16"/>
    <mergeCell ref="A22:L22"/>
    <mergeCell ref="A26:L26"/>
    <mergeCell ref="A29:L29"/>
    <mergeCell ref="A33:L33"/>
    <mergeCell ref="A154:L154"/>
    <mergeCell ref="A160:L160"/>
    <mergeCell ref="A49:L49"/>
    <mergeCell ref="A60:L60"/>
    <mergeCell ref="A71:L71"/>
    <mergeCell ref="A92:L92"/>
    <mergeCell ref="A118:L118"/>
    <mergeCell ref="A136:L136"/>
    <mergeCell ref="A1:M2"/>
    <mergeCell ref="A3:A4"/>
    <mergeCell ref="C3:C4"/>
    <mergeCell ref="D3:D4"/>
    <mergeCell ref="E3:E4"/>
    <mergeCell ref="F3:F4"/>
    <mergeCell ref="G3:J3"/>
    <mergeCell ref="L3:L4"/>
    <mergeCell ref="M3:M4"/>
    <mergeCell ref="B3:B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11"/>
  <sheetViews>
    <sheetView workbookViewId="0">
      <selection sqref="A1:M2"/>
    </sheetView>
  </sheetViews>
  <sheetFormatPr defaultColWidth="9.140625" defaultRowHeight="12.95"/>
  <cols>
    <col min="1" max="1" width="7.42578125" style="6" bestFit="1" customWidth="1"/>
    <col min="2" max="2" width="27.42578125" style="5" bestFit="1" customWidth="1"/>
    <col min="3" max="3" width="29.140625" style="5" bestFit="1" customWidth="1"/>
    <col min="4" max="4" width="21.42578125" style="5" bestFit="1" customWidth="1"/>
    <col min="5" max="5" width="10.42578125" style="5" bestFit="1" customWidth="1"/>
    <col min="6" max="6" width="17.42578125" style="5" bestFit="1" customWidth="1"/>
    <col min="7" max="9" width="5.42578125" style="6" bestFit="1" customWidth="1"/>
    <col min="10" max="10" width="4.85546875" style="6" bestFit="1" customWidth="1"/>
    <col min="11" max="11" width="11.28515625" style="6" bestFit="1" customWidth="1"/>
    <col min="12" max="12" width="8.42578125" style="6" bestFit="1" customWidth="1"/>
    <col min="13" max="13" width="19.7109375" style="5" bestFit="1" customWidth="1"/>
    <col min="14" max="16384" width="9.140625" style="3"/>
  </cols>
  <sheetData>
    <row r="1" spans="1:13" s="2" customFormat="1" ht="29.1" customHeight="1">
      <c r="A1" s="103" t="s">
        <v>4645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5</v>
      </c>
      <c r="F3" s="114" t="s">
        <v>6</v>
      </c>
      <c r="G3" s="114" t="s">
        <v>9</v>
      </c>
      <c r="H3" s="114"/>
      <c r="I3" s="114"/>
      <c r="J3" s="114"/>
      <c r="K3" s="114" t="s">
        <v>2294</v>
      </c>
      <c r="L3" s="114" t="s">
        <v>11</v>
      </c>
      <c r="M3" s="99" t="s">
        <v>12</v>
      </c>
    </row>
    <row r="4" spans="1:13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113"/>
      <c r="L4" s="113"/>
      <c r="M4" s="100"/>
    </row>
    <row r="5" spans="1:13" ht="15.95">
      <c r="A5" s="101" t="s">
        <v>334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3">
      <c r="A6" s="10" t="s">
        <v>15</v>
      </c>
      <c r="B6" s="7" t="s">
        <v>4646</v>
      </c>
      <c r="C6" s="7" t="s">
        <v>4647</v>
      </c>
      <c r="D6" s="7" t="s">
        <v>4648</v>
      </c>
      <c r="E6" s="7" t="str">
        <f>"0,6769"</f>
        <v>0,6769</v>
      </c>
      <c r="F6" s="7" t="s">
        <v>4649</v>
      </c>
      <c r="G6" s="8" t="s">
        <v>491</v>
      </c>
      <c r="H6" s="9" t="s">
        <v>803</v>
      </c>
      <c r="I6" s="10"/>
      <c r="J6" s="10"/>
      <c r="K6" s="10" t="str">
        <f>"265,0"</f>
        <v>265,0</v>
      </c>
      <c r="L6" s="10" t="str">
        <f>"179,3785"</f>
        <v>179,3785</v>
      </c>
      <c r="M6" s="7" t="s">
        <v>158</v>
      </c>
    </row>
    <row r="7" spans="1:13">
      <c r="B7" s="5" t="s">
        <v>40</v>
      </c>
    </row>
    <row r="8" spans="1:13" ht="15.95">
      <c r="A8" s="102" t="s">
        <v>670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3">
      <c r="A9" s="13" t="s">
        <v>15</v>
      </c>
      <c r="B9" s="11" t="s">
        <v>2062</v>
      </c>
      <c r="C9" s="11" t="s">
        <v>2063</v>
      </c>
      <c r="D9" s="11" t="s">
        <v>1521</v>
      </c>
      <c r="E9" s="11" t="str">
        <f>"0,6172"</f>
        <v>0,6172</v>
      </c>
      <c r="F9" s="11" t="s">
        <v>91</v>
      </c>
      <c r="G9" s="12" t="s">
        <v>398</v>
      </c>
      <c r="H9" s="21" t="s">
        <v>384</v>
      </c>
      <c r="I9" s="21" t="s">
        <v>384</v>
      </c>
      <c r="J9" s="13"/>
      <c r="K9" s="13" t="str">
        <f>"180,0"</f>
        <v>180,0</v>
      </c>
      <c r="L9" s="13" t="str">
        <f>"117,7618"</f>
        <v>117,7618</v>
      </c>
      <c r="M9" s="11" t="s">
        <v>4650</v>
      </c>
    </row>
    <row r="10" spans="1:13">
      <c r="A10" s="20" t="s">
        <v>15</v>
      </c>
      <c r="B10" s="18" t="s">
        <v>4651</v>
      </c>
      <c r="C10" s="18" t="s">
        <v>4652</v>
      </c>
      <c r="D10" s="18" t="s">
        <v>3293</v>
      </c>
      <c r="E10" s="18" t="str">
        <f>"0,6232"</f>
        <v>0,6232</v>
      </c>
      <c r="F10" s="18" t="s">
        <v>1667</v>
      </c>
      <c r="G10" s="19" t="s">
        <v>398</v>
      </c>
      <c r="H10" s="19" t="s">
        <v>420</v>
      </c>
      <c r="I10" s="19" t="s">
        <v>422</v>
      </c>
      <c r="J10" s="20"/>
      <c r="K10" s="20" t="str">
        <f>"240,0"</f>
        <v>240,0</v>
      </c>
      <c r="L10" s="20" t="str">
        <f>"197,7289"</f>
        <v>197,7289</v>
      </c>
      <c r="M10" s="18" t="s">
        <v>158</v>
      </c>
    </row>
    <row r="11" spans="1:13">
      <c r="B11" s="5" t="s">
        <v>40</v>
      </c>
    </row>
  </sheetData>
  <mergeCells count="13">
    <mergeCell ref="A5:L5"/>
    <mergeCell ref="A8:L8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U110"/>
  <sheetViews>
    <sheetView workbookViewId="0">
      <selection sqref="A1:U2"/>
    </sheetView>
  </sheetViews>
  <sheetFormatPr defaultColWidth="9.140625" defaultRowHeight="12.95"/>
  <cols>
    <col min="1" max="1" width="7.42578125" style="6" bestFit="1" customWidth="1"/>
    <col min="2" max="2" width="24.28515625" style="5" bestFit="1" customWidth="1"/>
    <col min="3" max="3" width="27.85546875" style="5" customWidth="1"/>
    <col min="4" max="4" width="21.42578125" style="5" bestFit="1" customWidth="1"/>
    <col min="5" max="5" width="10.42578125" style="5" bestFit="1" customWidth="1"/>
    <col min="6" max="6" width="22" style="5" bestFit="1" customWidth="1"/>
    <col min="7" max="9" width="5.42578125" style="6" bestFit="1" customWidth="1"/>
    <col min="10" max="10" width="4.85546875" style="6" bestFit="1" customWidth="1"/>
    <col min="11" max="13" width="5.42578125" style="6" bestFit="1" customWidth="1"/>
    <col min="14" max="14" width="4.85546875" style="6" bestFit="1" customWidth="1"/>
    <col min="15" max="18" width="5.42578125" style="6" bestFit="1" customWidth="1"/>
    <col min="19" max="19" width="7.85546875" style="39" bestFit="1" customWidth="1"/>
    <col min="20" max="20" width="8.42578125" style="6" bestFit="1" customWidth="1"/>
    <col min="21" max="21" width="19.85546875" style="5" bestFit="1" customWidth="1"/>
    <col min="22" max="16384" width="9.140625" style="3"/>
  </cols>
  <sheetData>
    <row r="1" spans="1:21" s="2" customFormat="1" ht="29.1" customHeight="1">
      <c r="A1" s="103" t="s">
        <v>1365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/>
    </row>
    <row r="2" spans="1:21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9"/>
    </row>
    <row r="3" spans="1:21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5</v>
      </c>
      <c r="F3" s="114" t="s">
        <v>6</v>
      </c>
      <c r="G3" s="114" t="s">
        <v>7</v>
      </c>
      <c r="H3" s="114"/>
      <c r="I3" s="114"/>
      <c r="J3" s="114"/>
      <c r="K3" s="114" t="s">
        <v>8</v>
      </c>
      <c r="L3" s="114"/>
      <c r="M3" s="114"/>
      <c r="N3" s="114"/>
      <c r="O3" s="114" t="s">
        <v>9</v>
      </c>
      <c r="P3" s="114"/>
      <c r="Q3" s="114"/>
      <c r="R3" s="114"/>
      <c r="S3" s="117" t="s">
        <v>10</v>
      </c>
      <c r="T3" s="114" t="s">
        <v>11</v>
      </c>
      <c r="U3" s="99" t="s">
        <v>12</v>
      </c>
    </row>
    <row r="4" spans="1:21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96">
        <v>1</v>
      </c>
      <c r="L4" s="96">
        <v>2</v>
      </c>
      <c r="M4" s="96">
        <v>3</v>
      </c>
      <c r="N4" s="96" t="s">
        <v>13</v>
      </c>
      <c r="O4" s="96">
        <v>1</v>
      </c>
      <c r="P4" s="96">
        <v>2</v>
      </c>
      <c r="Q4" s="96">
        <v>3</v>
      </c>
      <c r="R4" s="96" t="s">
        <v>13</v>
      </c>
      <c r="S4" s="118"/>
      <c r="T4" s="113"/>
      <c r="U4" s="100"/>
    </row>
    <row r="5" spans="1:21" ht="15.95">
      <c r="A5" s="101" t="s">
        <v>98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1:21">
      <c r="A6" s="13" t="s">
        <v>15</v>
      </c>
      <c r="B6" s="11" t="s">
        <v>1366</v>
      </c>
      <c r="C6" s="11" t="s">
        <v>1367</v>
      </c>
      <c r="D6" s="11" t="s">
        <v>1368</v>
      </c>
      <c r="E6" s="11" t="str">
        <f>"1,2560"</f>
        <v>1,2560</v>
      </c>
      <c r="F6" s="11" t="s">
        <v>45</v>
      </c>
      <c r="G6" s="12" t="s">
        <v>59</v>
      </c>
      <c r="H6" s="12" t="s">
        <v>205</v>
      </c>
      <c r="I6" s="21" t="s">
        <v>151</v>
      </c>
      <c r="J6" s="13"/>
      <c r="K6" s="21" t="s">
        <v>33</v>
      </c>
      <c r="L6" s="12" t="s">
        <v>80</v>
      </c>
      <c r="M6" s="12" t="s">
        <v>104</v>
      </c>
      <c r="N6" s="13"/>
      <c r="O6" s="12" t="s">
        <v>60</v>
      </c>
      <c r="P6" s="12" t="s">
        <v>151</v>
      </c>
      <c r="Q6" s="21" t="s">
        <v>248</v>
      </c>
      <c r="R6" s="13"/>
      <c r="S6" s="37" t="str">
        <f>"392,5"</f>
        <v>392,5</v>
      </c>
      <c r="T6" s="13" t="str">
        <f>"492,9800"</f>
        <v>492,9800</v>
      </c>
      <c r="U6" s="11" t="s">
        <v>50</v>
      </c>
    </row>
    <row r="7" spans="1:21">
      <c r="A7" s="17" t="s">
        <v>62</v>
      </c>
      <c r="B7" s="14" t="s">
        <v>1369</v>
      </c>
      <c r="C7" s="14" t="s">
        <v>1370</v>
      </c>
      <c r="D7" s="14" t="s">
        <v>899</v>
      </c>
      <c r="E7" s="14" t="str">
        <f>"1,2654"</f>
        <v>1,2654</v>
      </c>
      <c r="F7" s="14" t="s">
        <v>594</v>
      </c>
      <c r="G7" s="15" t="s">
        <v>70</v>
      </c>
      <c r="H7" s="15" t="s">
        <v>145</v>
      </c>
      <c r="I7" s="15" t="s">
        <v>71</v>
      </c>
      <c r="J7" s="17"/>
      <c r="K7" s="15" t="s">
        <v>33</v>
      </c>
      <c r="L7" s="15" t="s">
        <v>140</v>
      </c>
      <c r="M7" s="16" t="s">
        <v>80</v>
      </c>
      <c r="N7" s="17"/>
      <c r="O7" s="15" t="s">
        <v>209</v>
      </c>
      <c r="P7" s="16" t="s">
        <v>59</v>
      </c>
      <c r="Q7" s="16" t="s">
        <v>59</v>
      </c>
      <c r="R7" s="17"/>
      <c r="S7" s="40" t="str">
        <f>"337,5"</f>
        <v>337,5</v>
      </c>
      <c r="T7" s="17" t="str">
        <f>"427,0725"</f>
        <v>427,0725</v>
      </c>
      <c r="U7" s="14" t="s">
        <v>1371</v>
      </c>
    </row>
    <row r="8" spans="1:21">
      <c r="A8" s="17" t="s">
        <v>73</v>
      </c>
      <c r="B8" s="14" t="s">
        <v>1372</v>
      </c>
      <c r="C8" s="14" t="s">
        <v>1373</v>
      </c>
      <c r="D8" s="14" t="s">
        <v>1374</v>
      </c>
      <c r="E8" s="14" t="str">
        <f>"1,2597"</f>
        <v>1,2597</v>
      </c>
      <c r="F8" s="14" t="s">
        <v>232</v>
      </c>
      <c r="G8" s="16" t="s">
        <v>69</v>
      </c>
      <c r="H8" s="15" t="s">
        <v>70</v>
      </c>
      <c r="I8" s="16" t="s">
        <v>145</v>
      </c>
      <c r="J8" s="17"/>
      <c r="K8" s="15" t="s">
        <v>26</v>
      </c>
      <c r="L8" s="16" t="s">
        <v>32</v>
      </c>
      <c r="M8" s="16" t="s">
        <v>32</v>
      </c>
      <c r="N8" s="17"/>
      <c r="O8" s="15" t="s">
        <v>145</v>
      </c>
      <c r="P8" s="16" t="s">
        <v>71</v>
      </c>
      <c r="Q8" s="16" t="s">
        <v>71</v>
      </c>
      <c r="R8" s="17"/>
      <c r="S8" s="40" t="str">
        <f>"305,0"</f>
        <v>305,0</v>
      </c>
      <c r="T8" s="17" t="str">
        <f>"384,2085"</f>
        <v>384,2085</v>
      </c>
      <c r="U8" s="14" t="s">
        <v>1183</v>
      </c>
    </row>
    <row r="9" spans="1:21">
      <c r="A9" s="17" t="s">
        <v>75</v>
      </c>
      <c r="B9" s="14" t="s">
        <v>1375</v>
      </c>
      <c r="C9" s="14" t="s">
        <v>1376</v>
      </c>
      <c r="D9" s="14" t="s">
        <v>1377</v>
      </c>
      <c r="E9" s="14" t="str">
        <f>"1,2905"</f>
        <v>1,2905</v>
      </c>
      <c r="F9" s="14" t="s">
        <v>1378</v>
      </c>
      <c r="G9" s="16" t="s">
        <v>67</v>
      </c>
      <c r="H9" s="15" t="s">
        <v>36</v>
      </c>
      <c r="I9" s="16" t="s">
        <v>68</v>
      </c>
      <c r="J9" s="17"/>
      <c r="K9" s="15" t="s">
        <v>21</v>
      </c>
      <c r="L9" s="16" t="s">
        <v>22</v>
      </c>
      <c r="M9" s="16" t="s">
        <v>82</v>
      </c>
      <c r="N9" s="17"/>
      <c r="O9" s="15" t="s">
        <v>37</v>
      </c>
      <c r="P9" s="15" t="s">
        <v>38</v>
      </c>
      <c r="Q9" s="15" t="s">
        <v>49</v>
      </c>
      <c r="R9" s="17"/>
      <c r="S9" s="40" t="str">
        <f>"235,0"</f>
        <v>235,0</v>
      </c>
      <c r="T9" s="17" t="str">
        <f>"303,2675"</f>
        <v>303,2675</v>
      </c>
      <c r="U9" s="14" t="s">
        <v>1379</v>
      </c>
    </row>
    <row r="10" spans="1:21">
      <c r="A10" s="17" t="s">
        <v>15</v>
      </c>
      <c r="B10" s="14" t="s">
        <v>1369</v>
      </c>
      <c r="C10" s="14" t="s">
        <v>1380</v>
      </c>
      <c r="D10" s="14" t="s">
        <v>899</v>
      </c>
      <c r="E10" s="14" t="str">
        <f>"1,2654"</f>
        <v>1,2654</v>
      </c>
      <c r="F10" s="14" t="s">
        <v>594</v>
      </c>
      <c r="G10" s="15" t="s">
        <v>70</v>
      </c>
      <c r="H10" s="15" t="s">
        <v>145</v>
      </c>
      <c r="I10" s="15" t="s">
        <v>71</v>
      </c>
      <c r="J10" s="17"/>
      <c r="K10" s="15" t="s">
        <v>33</v>
      </c>
      <c r="L10" s="15" t="s">
        <v>140</v>
      </c>
      <c r="M10" s="16" t="s">
        <v>80</v>
      </c>
      <c r="N10" s="17"/>
      <c r="O10" s="15" t="s">
        <v>209</v>
      </c>
      <c r="P10" s="16" t="s">
        <v>59</v>
      </c>
      <c r="Q10" s="16" t="s">
        <v>59</v>
      </c>
      <c r="R10" s="17"/>
      <c r="S10" s="40" t="str">
        <f>"337,5"</f>
        <v>337,5</v>
      </c>
      <c r="T10" s="17" t="str">
        <f>"445,8637"</f>
        <v>445,8637</v>
      </c>
      <c r="U10" s="14" t="s">
        <v>1371</v>
      </c>
    </row>
    <row r="11" spans="1:21">
      <c r="A11" s="20" t="s">
        <v>15</v>
      </c>
      <c r="B11" s="18" t="s">
        <v>1375</v>
      </c>
      <c r="C11" s="18" t="s">
        <v>1381</v>
      </c>
      <c r="D11" s="18" t="s">
        <v>1377</v>
      </c>
      <c r="E11" s="18" t="str">
        <f>"1,2905"</f>
        <v>1,2905</v>
      </c>
      <c r="F11" s="18" t="s">
        <v>1378</v>
      </c>
      <c r="G11" s="22" t="s">
        <v>67</v>
      </c>
      <c r="H11" s="19" t="s">
        <v>36</v>
      </c>
      <c r="I11" s="22" t="s">
        <v>68</v>
      </c>
      <c r="J11" s="20"/>
      <c r="K11" s="19" t="s">
        <v>21</v>
      </c>
      <c r="L11" s="22" t="s">
        <v>22</v>
      </c>
      <c r="M11" s="22" t="s">
        <v>82</v>
      </c>
      <c r="N11" s="20"/>
      <c r="O11" s="19" t="s">
        <v>37</v>
      </c>
      <c r="P11" s="19" t="s">
        <v>38</v>
      </c>
      <c r="Q11" s="19" t="s">
        <v>49</v>
      </c>
      <c r="R11" s="20"/>
      <c r="S11" s="38" t="str">
        <f>"235,0"</f>
        <v>235,0</v>
      </c>
      <c r="T11" s="20" t="str">
        <f>"400,9196"</f>
        <v>400,9196</v>
      </c>
      <c r="U11" s="18" t="s">
        <v>1379</v>
      </c>
    </row>
    <row r="12" spans="1:21">
      <c r="B12" s="5" t="s">
        <v>40</v>
      </c>
    </row>
    <row r="13" spans="1:21" ht="15.95">
      <c r="A13" s="102" t="s">
        <v>141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</row>
    <row r="14" spans="1:21">
      <c r="A14" s="13" t="s">
        <v>15</v>
      </c>
      <c r="B14" s="11" t="s">
        <v>1382</v>
      </c>
      <c r="C14" s="11" t="s">
        <v>1383</v>
      </c>
      <c r="D14" s="11" t="s">
        <v>193</v>
      </c>
      <c r="E14" s="11" t="str">
        <f>"1,1967"</f>
        <v>1,1967</v>
      </c>
      <c r="F14" s="11" t="s">
        <v>1155</v>
      </c>
      <c r="G14" s="12" t="s">
        <v>38</v>
      </c>
      <c r="H14" s="12" t="s">
        <v>49</v>
      </c>
      <c r="I14" s="21" t="s">
        <v>69</v>
      </c>
      <c r="J14" s="13"/>
      <c r="K14" s="12" t="s">
        <v>32</v>
      </c>
      <c r="L14" s="12" t="s">
        <v>33</v>
      </c>
      <c r="M14" s="12" t="s">
        <v>140</v>
      </c>
      <c r="N14" s="21" t="s">
        <v>80</v>
      </c>
      <c r="O14" s="21" t="s">
        <v>58</v>
      </c>
      <c r="P14" s="12" t="s">
        <v>58</v>
      </c>
      <c r="Q14" s="12" t="s">
        <v>60</v>
      </c>
      <c r="R14" s="21" t="s">
        <v>342</v>
      </c>
      <c r="S14" s="37" t="str">
        <f>"327,5"</f>
        <v>327,5</v>
      </c>
      <c r="T14" s="13" t="str">
        <f>"391,9192"</f>
        <v>391,9192</v>
      </c>
      <c r="U14" s="11" t="s">
        <v>1384</v>
      </c>
    </row>
    <row r="15" spans="1:21">
      <c r="A15" s="17" t="s">
        <v>92</v>
      </c>
      <c r="B15" s="14" t="s">
        <v>1385</v>
      </c>
      <c r="C15" s="14" t="s">
        <v>1386</v>
      </c>
      <c r="D15" s="14" t="s">
        <v>144</v>
      </c>
      <c r="E15" s="14" t="str">
        <f>"1,1900"</f>
        <v>1,1900</v>
      </c>
      <c r="F15" s="14" t="s">
        <v>1387</v>
      </c>
      <c r="G15" s="16" t="s">
        <v>209</v>
      </c>
      <c r="H15" s="16" t="s">
        <v>209</v>
      </c>
      <c r="I15" s="16" t="s">
        <v>209</v>
      </c>
      <c r="J15" s="17"/>
      <c r="K15" s="16"/>
      <c r="L15" s="17"/>
      <c r="M15" s="17"/>
      <c r="N15" s="17"/>
      <c r="O15" s="16"/>
      <c r="P15" s="17"/>
      <c r="Q15" s="17"/>
      <c r="R15" s="17"/>
      <c r="S15" s="40">
        <v>0</v>
      </c>
      <c r="T15" s="17" t="str">
        <f>"0,0000"</f>
        <v>0,0000</v>
      </c>
      <c r="U15" s="14" t="s">
        <v>1388</v>
      </c>
    </row>
    <row r="16" spans="1:21">
      <c r="A16" s="20" t="s">
        <v>92</v>
      </c>
      <c r="B16" s="18" t="s">
        <v>1389</v>
      </c>
      <c r="C16" s="18" t="s">
        <v>1390</v>
      </c>
      <c r="D16" s="18" t="s">
        <v>175</v>
      </c>
      <c r="E16" s="18" t="str">
        <f>"1,1883"</f>
        <v>1,1883</v>
      </c>
      <c r="F16" s="18" t="s">
        <v>1391</v>
      </c>
      <c r="G16" s="19" t="s">
        <v>205</v>
      </c>
      <c r="H16" s="22" t="s">
        <v>152</v>
      </c>
      <c r="I16" s="22" t="s">
        <v>152</v>
      </c>
      <c r="J16" s="20"/>
      <c r="K16" s="19" t="s">
        <v>33</v>
      </c>
      <c r="L16" s="19" t="s">
        <v>80</v>
      </c>
      <c r="M16" s="19" t="s">
        <v>104</v>
      </c>
      <c r="N16" s="20"/>
      <c r="O16" s="22" t="s">
        <v>248</v>
      </c>
      <c r="P16" s="22" t="s">
        <v>248</v>
      </c>
      <c r="Q16" s="22" t="s">
        <v>248</v>
      </c>
      <c r="R16" s="20"/>
      <c r="S16" s="38">
        <v>0</v>
      </c>
      <c r="T16" s="20" t="str">
        <f>"0,0000"</f>
        <v>0,0000</v>
      </c>
      <c r="U16" s="18" t="s">
        <v>1392</v>
      </c>
    </row>
    <row r="17" spans="1:21">
      <c r="B17" s="5" t="s">
        <v>40</v>
      </c>
    </row>
    <row r="18" spans="1:21" ht="15.95">
      <c r="A18" s="102" t="s">
        <v>195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</row>
    <row r="19" spans="1:21">
      <c r="A19" s="13" t="s">
        <v>15</v>
      </c>
      <c r="B19" s="11" t="s">
        <v>1393</v>
      </c>
      <c r="C19" s="11" t="s">
        <v>1394</v>
      </c>
      <c r="D19" s="11" t="s">
        <v>1395</v>
      </c>
      <c r="E19" s="11" t="str">
        <f>"1,1509"</f>
        <v>1,1509</v>
      </c>
      <c r="F19" s="11" t="s">
        <v>594</v>
      </c>
      <c r="G19" s="12" t="s">
        <v>56</v>
      </c>
      <c r="H19" s="21" t="s">
        <v>85</v>
      </c>
      <c r="I19" s="21" t="s">
        <v>71</v>
      </c>
      <c r="J19" s="13"/>
      <c r="K19" s="12" t="s">
        <v>22</v>
      </c>
      <c r="L19" s="12" t="s">
        <v>83</v>
      </c>
      <c r="M19" s="21" t="s">
        <v>34</v>
      </c>
      <c r="N19" s="13"/>
      <c r="O19" s="12" t="s">
        <v>145</v>
      </c>
      <c r="P19" s="21" t="s">
        <v>209</v>
      </c>
      <c r="Q19" s="21" t="s">
        <v>209</v>
      </c>
      <c r="R19" s="13"/>
      <c r="S19" s="37" t="str">
        <f>"287,5"</f>
        <v>287,5</v>
      </c>
      <c r="T19" s="13" t="str">
        <f>"330,8838"</f>
        <v>330,8838</v>
      </c>
      <c r="U19" s="11" t="s">
        <v>1396</v>
      </c>
    </row>
    <row r="20" spans="1:21">
      <c r="A20" s="20" t="s">
        <v>15</v>
      </c>
      <c r="B20" s="18" t="s">
        <v>1397</v>
      </c>
      <c r="C20" s="18" t="s">
        <v>1398</v>
      </c>
      <c r="D20" s="18" t="s">
        <v>1399</v>
      </c>
      <c r="E20" s="18" t="str">
        <f>"1,1494"</f>
        <v>1,1494</v>
      </c>
      <c r="F20" s="18" t="s">
        <v>91</v>
      </c>
      <c r="G20" s="19" t="s">
        <v>49</v>
      </c>
      <c r="H20" s="19" t="s">
        <v>47</v>
      </c>
      <c r="I20" s="22" t="s">
        <v>56</v>
      </c>
      <c r="J20" s="20"/>
      <c r="K20" s="19" t="s">
        <v>21</v>
      </c>
      <c r="L20" s="19" t="s">
        <v>82</v>
      </c>
      <c r="M20" s="22" t="s">
        <v>103</v>
      </c>
      <c r="N20" s="20"/>
      <c r="O20" s="22" t="s">
        <v>33</v>
      </c>
      <c r="P20" s="19" t="s">
        <v>33</v>
      </c>
      <c r="Q20" s="19" t="s">
        <v>36</v>
      </c>
      <c r="R20" s="20"/>
      <c r="S20" s="38" t="str">
        <f>"242,5"</f>
        <v>242,5</v>
      </c>
      <c r="T20" s="20" t="str">
        <f>"278,7295"</f>
        <v>278,7295</v>
      </c>
      <c r="U20" s="18" t="s">
        <v>1400</v>
      </c>
    </row>
    <row r="21" spans="1:21">
      <c r="B21" s="5" t="s">
        <v>40</v>
      </c>
    </row>
    <row r="22" spans="1:21" ht="15.95">
      <c r="A22" s="102" t="s">
        <v>301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</row>
    <row r="23" spans="1:21">
      <c r="A23" s="13" t="s">
        <v>15</v>
      </c>
      <c r="B23" s="11" t="s">
        <v>1401</v>
      </c>
      <c r="C23" s="11" t="s">
        <v>1402</v>
      </c>
      <c r="D23" s="11" t="s">
        <v>1403</v>
      </c>
      <c r="E23" s="11" t="str">
        <f>"0,9587"</f>
        <v>0,9587</v>
      </c>
      <c r="F23" s="11" t="s">
        <v>1155</v>
      </c>
      <c r="G23" s="12" t="s">
        <v>71</v>
      </c>
      <c r="H23" s="12" t="s">
        <v>209</v>
      </c>
      <c r="I23" s="21" t="s">
        <v>58</v>
      </c>
      <c r="J23" s="13"/>
      <c r="K23" s="21" t="s">
        <v>32</v>
      </c>
      <c r="L23" s="21" t="s">
        <v>32</v>
      </c>
      <c r="M23" s="12" t="s">
        <v>32</v>
      </c>
      <c r="N23" s="21" t="s">
        <v>33</v>
      </c>
      <c r="O23" s="12" t="s">
        <v>58</v>
      </c>
      <c r="P23" s="21" t="s">
        <v>60</v>
      </c>
      <c r="Q23" s="21" t="s">
        <v>60</v>
      </c>
      <c r="R23" s="13"/>
      <c r="S23" s="37" t="str">
        <f>"340,0"</f>
        <v>340,0</v>
      </c>
      <c r="T23" s="13" t="str">
        <f>"325,9580"</f>
        <v>325,9580</v>
      </c>
      <c r="U23" s="11" t="s">
        <v>1384</v>
      </c>
    </row>
    <row r="24" spans="1:21">
      <c r="A24" s="17" t="s">
        <v>15</v>
      </c>
      <c r="B24" s="14" t="s">
        <v>1404</v>
      </c>
      <c r="C24" s="14" t="s">
        <v>1405</v>
      </c>
      <c r="D24" s="14" t="s">
        <v>419</v>
      </c>
      <c r="E24" s="14" t="str">
        <f>"0,9555"</f>
        <v>0,9555</v>
      </c>
      <c r="F24" s="14" t="s">
        <v>594</v>
      </c>
      <c r="G24" s="15" t="s">
        <v>38</v>
      </c>
      <c r="H24" s="15" t="s">
        <v>69</v>
      </c>
      <c r="I24" s="15" t="s">
        <v>70</v>
      </c>
      <c r="J24" s="17"/>
      <c r="K24" s="16" t="s">
        <v>82</v>
      </c>
      <c r="L24" s="16" t="s">
        <v>82</v>
      </c>
      <c r="M24" s="15" t="s">
        <v>82</v>
      </c>
      <c r="N24" s="17"/>
      <c r="O24" s="15" t="s">
        <v>38</v>
      </c>
      <c r="P24" s="15" t="s">
        <v>69</v>
      </c>
      <c r="Q24" s="16" t="s">
        <v>56</v>
      </c>
      <c r="R24" s="17"/>
      <c r="S24" s="40" t="str">
        <f>"275,0"</f>
        <v>275,0</v>
      </c>
      <c r="T24" s="17" t="str">
        <f>"262,7625"</f>
        <v>262,7625</v>
      </c>
      <c r="U24" s="14" t="s">
        <v>1406</v>
      </c>
    </row>
    <row r="25" spans="1:21">
      <c r="A25" s="20" t="s">
        <v>15</v>
      </c>
      <c r="B25" s="18" t="s">
        <v>1407</v>
      </c>
      <c r="C25" s="18" t="s">
        <v>1408</v>
      </c>
      <c r="D25" s="18" t="s">
        <v>390</v>
      </c>
      <c r="E25" s="18" t="str">
        <f>"0,9596"</f>
        <v>0,9596</v>
      </c>
      <c r="F25" s="18" t="s">
        <v>1204</v>
      </c>
      <c r="G25" s="22" t="s">
        <v>38</v>
      </c>
      <c r="H25" s="19" t="s">
        <v>56</v>
      </c>
      <c r="I25" s="19" t="s">
        <v>84</v>
      </c>
      <c r="J25" s="20"/>
      <c r="K25" s="19" t="s">
        <v>35</v>
      </c>
      <c r="L25" s="19" t="s">
        <v>32</v>
      </c>
      <c r="M25" s="22" t="s">
        <v>33</v>
      </c>
      <c r="N25" s="20"/>
      <c r="O25" s="19" t="s">
        <v>38</v>
      </c>
      <c r="P25" s="19" t="s">
        <v>70</v>
      </c>
      <c r="Q25" s="19" t="s">
        <v>71</v>
      </c>
      <c r="R25" s="20"/>
      <c r="S25" s="38" t="str">
        <f>"312,5"</f>
        <v>312,5</v>
      </c>
      <c r="T25" s="20" t="str">
        <f>"317,8675"</f>
        <v>317,8675</v>
      </c>
      <c r="U25" s="18" t="s">
        <v>1409</v>
      </c>
    </row>
    <row r="26" spans="1:21">
      <c r="B26" s="5" t="s">
        <v>40</v>
      </c>
    </row>
    <row r="27" spans="1:21" ht="15.95">
      <c r="A27" s="102" t="s">
        <v>598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</row>
    <row r="28" spans="1:21">
      <c r="A28" s="10" t="s">
        <v>15</v>
      </c>
      <c r="B28" s="7" t="s">
        <v>1410</v>
      </c>
      <c r="C28" s="7" t="s">
        <v>1411</v>
      </c>
      <c r="D28" s="7" t="s">
        <v>1412</v>
      </c>
      <c r="E28" s="7" t="str">
        <f>"0,8928"</f>
        <v>0,8928</v>
      </c>
      <c r="F28" s="7" t="s">
        <v>125</v>
      </c>
      <c r="G28" s="9" t="s">
        <v>59</v>
      </c>
      <c r="H28" s="9" t="s">
        <v>59</v>
      </c>
      <c r="I28" s="8" t="s">
        <v>59</v>
      </c>
      <c r="J28" s="10"/>
      <c r="K28" s="8" t="s">
        <v>34</v>
      </c>
      <c r="L28" s="9" t="s">
        <v>25</v>
      </c>
      <c r="M28" s="9" t="s">
        <v>25</v>
      </c>
      <c r="N28" s="10"/>
      <c r="O28" s="8" t="s">
        <v>205</v>
      </c>
      <c r="P28" s="9" t="s">
        <v>254</v>
      </c>
      <c r="Q28" s="8" t="s">
        <v>254</v>
      </c>
      <c r="R28" s="10"/>
      <c r="S28" s="41" t="str">
        <f>"355,0"</f>
        <v>355,0</v>
      </c>
      <c r="T28" s="10" t="str">
        <f>"316,9440"</f>
        <v>316,9440</v>
      </c>
      <c r="U28" s="7" t="s">
        <v>158</v>
      </c>
    </row>
    <row r="29" spans="1:21">
      <c r="B29" s="5" t="s">
        <v>40</v>
      </c>
    </row>
    <row r="30" spans="1:21" ht="15.95">
      <c r="A30" s="102" t="s">
        <v>241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</row>
    <row r="31" spans="1:21">
      <c r="A31" s="10" t="s">
        <v>15</v>
      </c>
      <c r="B31" s="7" t="s">
        <v>1413</v>
      </c>
      <c r="C31" s="7" t="s">
        <v>1414</v>
      </c>
      <c r="D31" s="7" t="s">
        <v>252</v>
      </c>
      <c r="E31" s="7" t="str">
        <f>"0,7901"</f>
        <v>0,7901</v>
      </c>
      <c r="F31" s="7" t="s">
        <v>1105</v>
      </c>
      <c r="G31" s="8" t="s">
        <v>71</v>
      </c>
      <c r="H31" s="8" t="s">
        <v>58</v>
      </c>
      <c r="I31" s="10"/>
      <c r="J31" s="10"/>
      <c r="K31" s="8" t="s">
        <v>68</v>
      </c>
      <c r="L31" s="8" t="s">
        <v>110</v>
      </c>
      <c r="M31" s="8" t="s">
        <v>38</v>
      </c>
      <c r="N31" s="10"/>
      <c r="O31" s="8" t="s">
        <v>209</v>
      </c>
      <c r="P31" s="9" t="s">
        <v>60</v>
      </c>
      <c r="Q31" s="8" t="s">
        <v>205</v>
      </c>
      <c r="R31" s="10"/>
      <c r="S31" s="41" t="str">
        <f>"395,0"</f>
        <v>395,0</v>
      </c>
      <c r="T31" s="10" t="str">
        <f>"312,0895"</f>
        <v>312,0895</v>
      </c>
      <c r="U31" s="7" t="s">
        <v>1415</v>
      </c>
    </row>
    <row r="32" spans="1:21">
      <c r="B32" s="5" t="s">
        <v>40</v>
      </c>
    </row>
    <row r="33" spans="1:21" ht="15.95">
      <c r="A33" s="102" t="s">
        <v>301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</row>
    <row r="34" spans="1:21">
      <c r="A34" s="13" t="s">
        <v>15</v>
      </c>
      <c r="B34" s="11" t="s">
        <v>1416</v>
      </c>
      <c r="C34" s="11" t="s">
        <v>1417</v>
      </c>
      <c r="D34" s="11" t="s">
        <v>451</v>
      </c>
      <c r="E34" s="11" t="str">
        <f>"0,7242"</f>
        <v>0,7242</v>
      </c>
      <c r="F34" s="11" t="s">
        <v>45</v>
      </c>
      <c r="G34" s="12" t="s">
        <v>248</v>
      </c>
      <c r="H34" s="12" t="s">
        <v>392</v>
      </c>
      <c r="I34" s="12" t="s">
        <v>506</v>
      </c>
      <c r="J34" s="13"/>
      <c r="K34" s="12" t="s">
        <v>38</v>
      </c>
      <c r="L34" s="12" t="s">
        <v>69</v>
      </c>
      <c r="M34" s="21" t="s">
        <v>56</v>
      </c>
      <c r="N34" s="13"/>
      <c r="O34" s="12" t="s">
        <v>398</v>
      </c>
      <c r="P34" s="12" t="s">
        <v>374</v>
      </c>
      <c r="Q34" s="21" t="s">
        <v>1418</v>
      </c>
      <c r="R34" s="13"/>
      <c r="S34" s="37" t="str">
        <f>"507,5"</f>
        <v>507,5</v>
      </c>
      <c r="T34" s="13" t="str">
        <f>"367,5315"</f>
        <v>367,5315</v>
      </c>
      <c r="U34" s="11" t="s">
        <v>50</v>
      </c>
    </row>
    <row r="35" spans="1:21">
      <c r="A35" s="17" t="s">
        <v>15</v>
      </c>
      <c r="B35" s="14" t="s">
        <v>1419</v>
      </c>
      <c r="C35" s="14" t="s">
        <v>1420</v>
      </c>
      <c r="D35" s="14" t="s">
        <v>1421</v>
      </c>
      <c r="E35" s="14" t="str">
        <f>"0,7179"</f>
        <v>0,7179</v>
      </c>
      <c r="F35" s="14" t="s">
        <v>618</v>
      </c>
      <c r="G35" s="15" t="s">
        <v>523</v>
      </c>
      <c r="H35" s="16" t="s">
        <v>754</v>
      </c>
      <c r="I35" s="15" t="s">
        <v>754</v>
      </c>
      <c r="J35" s="17"/>
      <c r="K35" s="15" t="s">
        <v>59</v>
      </c>
      <c r="L35" s="15" t="s">
        <v>60</v>
      </c>
      <c r="M35" s="15" t="s">
        <v>205</v>
      </c>
      <c r="N35" s="17"/>
      <c r="O35" s="15" t="s">
        <v>523</v>
      </c>
      <c r="P35" s="15" t="s">
        <v>754</v>
      </c>
      <c r="Q35" s="15" t="s">
        <v>803</v>
      </c>
      <c r="R35" s="16" t="s">
        <v>1422</v>
      </c>
      <c r="S35" s="40" t="str">
        <f>"712,5"</f>
        <v>712,5</v>
      </c>
      <c r="T35" s="17" t="str">
        <f>"511,5037"</f>
        <v>511,5037</v>
      </c>
      <c r="U35" s="14" t="s">
        <v>619</v>
      </c>
    </row>
    <row r="36" spans="1:21">
      <c r="A36" s="17" t="s">
        <v>62</v>
      </c>
      <c r="B36" s="14" t="s">
        <v>1423</v>
      </c>
      <c r="C36" s="14" t="s">
        <v>1424</v>
      </c>
      <c r="D36" s="14" t="s">
        <v>1022</v>
      </c>
      <c r="E36" s="14" t="str">
        <f>"0,7221"</f>
        <v>0,7221</v>
      </c>
      <c r="F36" s="14" t="s">
        <v>1425</v>
      </c>
      <c r="G36" s="15" t="s">
        <v>368</v>
      </c>
      <c r="H36" s="16" t="s">
        <v>454</v>
      </c>
      <c r="I36" s="16" t="s">
        <v>454</v>
      </c>
      <c r="J36" s="17"/>
      <c r="K36" s="15" t="s">
        <v>38</v>
      </c>
      <c r="L36" s="16" t="s">
        <v>69</v>
      </c>
      <c r="M36" s="15" t="s">
        <v>69</v>
      </c>
      <c r="N36" s="17"/>
      <c r="O36" s="16" t="s">
        <v>420</v>
      </c>
      <c r="P36" s="15" t="s">
        <v>421</v>
      </c>
      <c r="Q36" s="15" t="s">
        <v>627</v>
      </c>
      <c r="R36" s="17"/>
      <c r="S36" s="40" t="str">
        <f>"540,0"</f>
        <v>540,0</v>
      </c>
      <c r="T36" s="17" t="str">
        <f>"389,9340"</f>
        <v>389,9340</v>
      </c>
      <c r="U36" s="14" t="s">
        <v>158</v>
      </c>
    </row>
    <row r="37" spans="1:21">
      <c r="A37" s="17" t="s">
        <v>73</v>
      </c>
      <c r="B37" s="14" t="s">
        <v>1426</v>
      </c>
      <c r="C37" s="14" t="s">
        <v>1427</v>
      </c>
      <c r="D37" s="14" t="s">
        <v>416</v>
      </c>
      <c r="E37" s="14" t="str">
        <f>"0,7249"</f>
        <v>0,7249</v>
      </c>
      <c r="F37" s="14" t="s">
        <v>91</v>
      </c>
      <c r="G37" s="15" t="s">
        <v>398</v>
      </c>
      <c r="H37" s="15" t="s">
        <v>392</v>
      </c>
      <c r="I37" s="16" t="s">
        <v>383</v>
      </c>
      <c r="J37" s="17"/>
      <c r="K37" s="15" t="s">
        <v>71</v>
      </c>
      <c r="L37" s="15" t="s">
        <v>209</v>
      </c>
      <c r="M37" s="16" t="s">
        <v>58</v>
      </c>
      <c r="N37" s="17"/>
      <c r="O37" s="15" t="s">
        <v>374</v>
      </c>
      <c r="P37" s="15" t="s">
        <v>399</v>
      </c>
      <c r="Q37" s="15" t="s">
        <v>384</v>
      </c>
      <c r="R37" s="17"/>
      <c r="S37" s="40" t="str">
        <f>"535,0"</f>
        <v>535,0</v>
      </c>
      <c r="T37" s="17" t="str">
        <f>"387,8215"</f>
        <v>387,8215</v>
      </c>
      <c r="U37" s="14" t="s">
        <v>158</v>
      </c>
    </row>
    <row r="38" spans="1:21">
      <c r="A38" s="17" t="s">
        <v>75</v>
      </c>
      <c r="B38" s="14" t="s">
        <v>1428</v>
      </c>
      <c r="C38" s="14" t="s">
        <v>1429</v>
      </c>
      <c r="D38" s="14" t="s">
        <v>1430</v>
      </c>
      <c r="E38" s="14" t="str">
        <f>"0,7278"</f>
        <v>0,7278</v>
      </c>
      <c r="F38" s="14" t="s">
        <v>222</v>
      </c>
      <c r="G38" s="15" t="s">
        <v>151</v>
      </c>
      <c r="H38" s="15" t="s">
        <v>550</v>
      </c>
      <c r="I38" s="16" t="s">
        <v>452</v>
      </c>
      <c r="J38" s="17"/>
      <c r="K38" s="15" t="s">
        <v>38</v>
      </c>
      <c r="L38" s="15" t="s">
        <v>49</v>
      </c>
      <c r="M38" s="15" t="s">
        <v>47</v>
      </c>
      <c r="N38" s="17"/>
      <c r="O38" s="15" t="s">
        <v>351</v>
      </c>
      <c r="P38" s="15" t="s">
        <v>368</v>
      </c>
      <c r="Q38" s="15" t="s">
        <v>392</v>
      </c>
      <c r="R38" s="17"/>
      <c r="S38" s="40" t="str">
        <f>"470,0"</f>
        <v>470,0</v>
      </c>
      <c r="T38" s="17" t="str">
        <f>"342,0660"</f>
        <v>342,0660</v>
      </c>
      <c r="U38" s="14" t="s">
        <v>158</v>
      </c>
    </row>
    <row r="39" spans="1:21">
      <c r="A39" s="17" t="s">
        <v>92</v>
      </c>
      <c r="B39" s="14" t="s">
        <v>1431</v>
      </c>
      <c r="C39" s="14" t="s">
        <v>1432</v>
      </c>
      <c r="D39" s="14" t="s">
        <v>1022</v>
      </c>
      <c r="E39" s="14" t="str">
        <f>"0,7221"</f>
        <v>0,7221</v>
      </c>
      <c r="F39" s="14" t="s">
        <v>1433</v>
      </c>
      <c r="G39" s="16" t="s">
        <v>248</v>
      </c>
      <c r="H39" s="16" t="s">
        <v>248</v>
      </c>
      <c r="I39" s="16" t="s">
        <v>248</v>
      </c>
      <c r="J39" s="17"/>
      <c r="K39" s="17"/>
      <c r="L39" s="17"/>
      <c r="M39" s="17"/>
      <c r="N39" s="17"/>
      <c r="O39" s="17"/>
      <c r="P39" s="17"/>
      <c r="Q39" s="17"/>
      <c r="R39" s="17"/>
      <c r="S39" s="40">
        <v>0</v>
      </c>
      <c r="T39" s="17" t="str">
        <f>"0,0000"</f>
        <v>0,0000</v>
      </c>
      <c r="U39" s="14" t="s">
        <v>158</v>
      </c>
    </row>
    <row r="40" spans="1:21">
      <c r="A40" s="20" t="s">
        <v>15</v>
      </c>
      <c r="B40" s="18" t="s">
        <v>1434</v>
      </c>
      <c r="C40" s="18" t="s">
        <v>1435</v>
      </c>
      <c r="D40" s="18" t="s">
        <v>323</v>
      </c>
      <c r="E40" s="18" t="str">
        <f>"0,7159"</f>
        <v>0,7159</v>
      </c>
      <c r="F40" s="18" t="s">
        <v>1436</v>
      </c>
      <c r="G40" s="19" t="s">
        <v>374</v>
      </c>
      <c r="H40" s="19" t="s">
        <v>384</v>
      </c>
      <c r="I40" s="19" t="s">
        <v>420</v>
      </c>
      <c r="J40" s="20"/>
      <c r="K40" s="19" t="s">
        <v>71</v>
      </c>
      <c r="L40" s="19" t="s">
        <v>209</v>
      </c>
      <c r="M40" s="22" t="s">
        <v>58</v>
      </c>
      <c r="N40" s="20"/>
      <c r="O40" s="19" t="s">
        <v>420</v>
      </c>
      <c r="P40" s="22" t="s">
        <v>421</v>
      </c>
      <c r="Q40" s="22" t="s">
        <v>421</v>
      </c>
      <c r="R40" s="20"/>
      <c r="S40" s="38" t="str">
        <f>"575,0"</f>
        <v>575,0</v>
      </c>
      <c r="T40" s="20" t="str">
        <f>"417,4055"</f>
        <v>417,4055</v>
      </c>
      <c r="U40" s="18" t="s">
        <v>158</v>
      </c>
    </row>
    <row r="41" spans="1:21">
      <c r="B41" s="5" t="s">
        <v>40</v>
      </c>
    </row>
    <row r="42" spans="1:21" ht="15.95">
      <c r="A42" s="102" t="s">
        <v>334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</row>
    <row r="43" spans="1:21">
      <c r="A43" s="13" t="s">
        <v>15</v>
      </c>
      <c r="B43" s="11" t="s">
        <v>1437</v>
      </c>
      <c r="C43" s="11" t="s">
        <v>1438</v>
      </c>
      <c r="D43" s="11" t="s">
        <v>567</v>
      </c>
      <c r="E43" s="11" t="str">
        <f>"0,6699"</f>
        <v>0,6699</v>
      </c>
      <c r="F43" s="11" t="s">
        <v>1439</v>
      </c>
      <c r="G43" s="21" t="s">
        <v>60</v>
      </c>
      <c r="H43" s="21" t="s">
        <v>60</v>
      </c>
      <c r="I43" s="12" t="s">
        <v>151</v>
      </c>
      <c r="J43" s="13"/>
      <c r="K43" s="21" t="s">
        <v>38</v>
      </c>
      <c r="L43" s="12" t="s">
        <v>49</v>
      </c>
      <c r="M43" s="12" t="s">
        <v>69</v>
      </c>
      <c r="N43" s="13"/>
      <c r="O43" s="12" t="s">
        <v>398</v>
      </c>
      <c r="P43" s="21" t="s">
        <v>399</v>
      </c>
      <c r="Q43" s="21" t="s">
        <v>399</v>
      </c>
      <c r="R43" s="13"/>
      <c r="S43" s="37" t="str">
        <f>"450,0"</f>
        <v>450,0</v>
      </c>
      <c r="T43" s="13" t="str">
        <f>"301,4550"</f>
        <v>301,4550</v>
      </c>
      <c r="U43" s="11" t="s">
        <v>1440</v>
      </c>
    </row>
    <row r="44" spans="1:21">
      <c r="A44" s="17" t="s">
        <v>15</v>
      </c>
      <c r="B44" s="14" t="s">
        <v>1441</v>
      </c>
      <c r="C44" s="14" t="s">
        <v>1442</v>
      </c>
      <c r="D44" s="14" t="s">
        <v>1443</v>
      </c>
      <c r="E44" s="14" t="str">
        <f>"0,6957"</f>
        <v>0,6957</v>
      </c>
      <c r="F44" s="14" t="s">
        <v>1444</v>
      </c>
      <c r="G44" s="15" t="s">
        <v>442</v>
      </c>
      <c r="H44" s="15" t="s">
        <v>421</v>
      </c>
      <c r="I44" s="16" t="s">
        <v>422</v>
      </c>
      <c r="J44" s="17"/>
      <c r="K44" s="15" t="s">
        <v>209</v>
      </c>
      <c r="L44" s="15" t="s">
        <v>58</v>
      </c>
      <c r="M44" s="15" t="s">
        <v>59</v>
      </c>
      <c r="N44" s="17"/>
      <c r="O44" s="15" t="s">
        <v>421</v>
      </c>
      <c r="P44" s="15" t="s">
        <v>422</v>
      </c>
      <c r="Q44" s="15" t="s">
        <v>627</v>
      </c>
      <c r="R44" s="17"/>
      <c r="S44" s="40" t="str">
        <f>"620,0"</f>
        <v>620,0</v>
      </c>
      <c r="T44" s="17" t="str">
        <f>"431,3340"</f>
        <v>431,3340</v>
      </c>
      <c r="U44" s="14" t="s">
        <v>158</v>
      </c>
    </row>
    <row r="45" spans="1:21">
      <c r="A45" s="17" t="s">
        <v>62</v>
      </c>
      <c r="B45" s="14" t="s">
        <v>1445</v>
      </c>
      <c r="C45" s="14" t="s">
        <v>1446</v>
      </c>
      <c r="D45" s="14" t="s">
        <v>1447</v>
      </c>
      <c r="E45" s="14" t="str">
        <f>"0,6854"</f>
        <v>0,6854</v>
      </c>
      <c r="F45" s="14" t="s">
        <v>1448</v>
      </c>
      <c r="G45" s="16" t="s">
        <v>442</v>
      </c>
      <c r="H45" s="16" t="s">
        <v>442</v>
      </c>
      <c r="I45" s="15" t="s">
        <v>442</v>
      </c>
      <c r="J45" s="17"/>
      <c r="K45" s="15" t="s">
        <v>58</v>
      </c>
      <c r="L45" s="15" t="s">
        <v>204</v>
      </c>
      <c r="M45" s="15" t="s">
        <v>342</v>
      </c>
      <c r="N45" s="17"/>
      <c r="O45" s="15" t="s">
        <v>421</v>
      </c>
      <c r="P45" s="15" t="s">
        <v>422</v>
      </c>
      <c r="Q45" s="16" t="s">
        <v>627</v>
      </c>
      <c r="R45" s="17"/>
      <c r="S45" s="40" t="str">
        <f>"617,5"</f>
        <v>617,5</v>
      </c>
      <c r="T45" s="17" t="str">
        <f>"423,2345"</f>
        <v>423,2345</v>
      </c>
      <c r="U45" s="14" t="s">
        <v>158</v>
      </c>
    </row>
    <row r="46" spans="1:21">
      <c r="A46" s="17" t="s">
        <v>73</v>
      </c>
      <c r="B46" s="14" t="s">
        <v>1449</v>
      </c>
      <c r="C46" s="14" t="s">
        <v>1450</v>
      </c>
      <c r="D46" s="14" t="s">
        <v>567</v>
      </c>
      <c r="E46" s="14" t="str">
        <f>"0,6699"</f>
        <v>0,6699</v>
      </c>
      <c r="F46" s="14" t="s">
        <v>1451</v>
      </c>
      <c r="G46" s="16" t="s">
        <v>420</v>
      </c>
      <c r="H46" s="15" t="s">
        <v>420</v>
      </c>
      <c r="I46" s="15" t="s">
        <v>442</v>
      </c>
      <c r="J46" s="17"/>
      <c r="K46" s="15" t="s">
        <v>209</v>
      </c>
      <c r="L46" s="15" t="s">
        <v>58</v>
      </c>
      <c r="M46" s="15" t="s">
        <v>59</v>
      </c>
      <c r="N46" s="17"/>
      <c r="O46" s="15" t="s">
        <v>421</v>
      </c>
      <c r="P46" s="15" t="s">
        <v>682</v>
      </c>
      <c r="Q46" s="15" t="s">
        <v>627</v>
      </c>
      <c r="R46" s="17"/>
      <c r="S46" s="40" t="str">
        <f>"615,0"</f>
        <v>615,0</v>
      </c>
      <c r="T46" s="17" t="str">
        <f>"411,9885"</f>
        <v>411,9885</v>
      </c>
      <c r="U46" s="14" t="s">
        <v>1452</v>
      </c>
    </row>
    <row r="47" spans="1:21">
      <c r="A47" s="17" t="s">
        <v>75</v>
      </c>
      <c r="B47" s="14" t="s">
        <v>1453</v>
      </c>
      <c r="C47" s="14" t="s">
        <v>1454</v>
      </c>
      <c r="D47" s="14" t="s">
        <v>488</v>
      </c>
      <c r="E47" s="14" t="str">
        <f>"0,6832"</f>
        <v>0,6832</v>
      </c>
      <c r="F47" s="14" t="s">
        <v>1455</v>
      </c>
      <c r="G47" s="15" t="s">
        <v>384</v>
      </c>
      <c r="H47" s="15" t="s">
        <v>420</v>
      </c>
      <c r="I47" s="15" t="s">
        <v>385</v>
      </c>
      <c r="J47" s="17"/>
      <c r="K47" s="15" t="s">
        <v>157</v>
      </c>
      <c r="L47" s="15" t="s">
        <v>209</v>
      </c>
      <c r="M47" s="16" t="s">
        <v>147</v>
      </c>
      <c r="N47" s="17"/>
      <c r="O47" s="15" t="s">
        <v>421</v>
      </c>
      <c r="P47" s="15" t="s">
        <v>422</v>
      </c>
      <c r="Q47" s="15" t="s">
        <v>490</v>
      </c>
      <c r="R47" s="17"/>
      <c r="S47" s="40" t="str">
        <f>"607,5"</f>
        <v>607,5</v>
      </c>
      <c r="T47" s="17" t="str">
        <f>"415,0440"</f>
        <v>415,0440</v>
      </c>
      <c r="U47" s="14" t="s">
        <v>158</v>
      </c>
    </row>
    <row r="48" spans="1:21">
      <c r="A48" s="17" t="s">
        <v>87</v>
      </c>
      <c r="B48" s="14" t="s">
        <v>1456</v>
      </c>
      <c r="C48" s="14" t="s">
        <v>1457</v>
      </c>
      <c r="D48" s="14" t="s">
        <v>1458</v>
      </c>
      <c r="E48" s="14" t="str">
        <f>"0,6709"</f>
        <v>0,6709</v>
      </c>
      <c r="F48" s="14" t="s">
        <v>54</v>
      </c>
      <c r="G48" s="15" t="s">
        <v>399</v>
      </c>
      <c r="H48" s="15" t="s">
        <v>436</v>
      </c>
      <c r="I48" s="15" t="s">
        <v>385</v>
      </c>
      <c r="J48" s="17"/>
      <c r="K48" s="15" t="s">
        <v>56</v>
      </c>
      <c r="L48" s="15" t="s">
        <v>162</v>
      </c>
      <c r="M48" s="16" t="s">
        <v>85</v>
      </c>
      <c r="N48" s="17"/>
      <c r="O48" s="15" t="s">
        <v>442</v>
      </c>
      <c r="P48" s="15" t="s">
        <v>682</v>
      </c>
      <c r="Q48" s="17"/>
      <c r="R48" s="17"/>
      <c r="S48" s="40" t="str">
        <f>"582,5"</f>
        <v>582,5</v>
      </c>
      <c r="T48" s="17" t="str">
        <f>"390,7992"</f>
        <v>390,7992</v>
      </c>
      <c r="U48" s="14" t="s">
        <v>158</v>
      </c>
    </row>
    <row r="49" spans="1:21">
      <c r="A49" s="17" t="s">
        <v>168</v>
      </c>
      <c r="B49" s="14" t="s">
        <v>1459</v>
      </c>
      <c r="C49" s="14" t="s">
        <v>1460</v>
      </c>
      <c r="D49" s="14" t="s">
        <v>575</v>
      </c>
      <c r="E49" s="14" t="str">
        <f>"0,6704"</f>
        <v>0,6704</v>
      </c>
      <c r="F49" s="14" t="s">
        <v>1461</v>
      </c>
      <c r="G49" s="16" t="s">
        <v>374</v>
      </c>
      <c r="H49" s="16" t="s">
        <v>374</v>
      </c>
      <c r="I49" s="15" t="s">
        <v>374</v>
      </c>
      <c r="J49" s="17"/>
      <c r="K49" s="15" t="s">
        <v>71</v>
      </c>
      <c r="L49" s="16" t="s">
        <v>209</v>
      </c>
      <c r="M49" s="16" t="s">
        <v>209</v>
      </c>
      <c r="N49" s="17"/>
      <c r="O49" s="16" t="s">
        <v>421</v>
      </c>
      <c r="P49" s="16" t="s">
        <v>421</v>
      </c>
      <c r="Q49" s="15" t="s">
        <v>421</v>
      </c>
      <c r="R49" s="17"/>
      <c r="S49" s="40" t="str">
        <f>"560,0"</f>
        <v>560,0</v>
      </c>
      <c r="T49" s="17" t="str">
        <f>"375,4240"</f>
        <v>375,4240</v>
      </c>
      <c r="U49" s="14" t="s">
        <v>1462</v>
      </c>
    </row>
    <row r="50" spans="1:21">
      <c r="A50" s="17" t="s">
        <v>92</v>
      </c>
      <c r="B50" s="14" t="s">
        <v>1463</v>
      </c>
      <c r="C50" s="14" t="s">
        <v>1464</v>
      </c>
      <c r="D50" s="14" t="s">
        <v>1465</v>
      </c>
      <c r="E50" s="14" t="str">
        <f>"0,6939"</f>
        <v>0,6939</v>
      </c>
      <c r="F50" s="14" t="s">
        <v>1466</v>
      </c>
      <c r="G50" s="16" t="s">
        <v>458</v>
      </c>
      <c r="H50" s="16" t="s">
        <v>458</v>
      </c>
      <c r="I50" s="16" t="s">
        <v>458</v>
      </c>
      <c r="J50" s="17"/>
      <c r="K50" s="17"/>
      <c r="L50" s="17"/>
      <c r="M50" s="17"/>
      <c r="N50" s="17"/>
      <c r="O50" s="17"/>
      <c r="P50" s="17"/>
      <c r="Q50" s="17"/>
      <c r="R50" s="17"/>
      <c r="S50" s="40">
        <v>0</v>
      </c>
      <c r="T50" s="17" t="str">
        <f>"0,0000"</f>
        <v>0,0000</v>
      </c>
      <c r="U50" s="14" t="s">
        <v>158</v>
      </c>
    </row>
    <row r="51" spans="1:21">
      <c r="A51" s="17" t="s">
        <v>92</v>
      </c>
      <c r="B51" s="14" t="s">
        <v>1467</v>
      </c>
      <c r="C51" s="14" t="s">
        <v>1468</v>
      </c>
      <c r="D51" s="14" t="s">
        <v>1469</v>
      </c>
      <c r="E51" s="14" t="str">
        <f>"0,6779"</f>
        <v>0,6779</v>
      </c>
      <c r="F51" s="14" t="s">
        <v>1155</v>
      </c>
      <c r="G51" s="16" t="s">
        <v>383</v>
      </c>
      <c r="H51" s="16" t="s">
        <v>399</v>
      </c>
      <c r="I51" s="16" t="s">
        <v>399</v>
      </c>
      <c r="J51" s="17"/>
      <c r="K51" s="17"/>
      <c r="L51" s="17"/>
      <c r="M51" s="17"/>
      <c r="N51" s="17"/>
      <c r="O51" s="17"/>
      <c r="P51" s="17"/>
      <c r="Q51" s="17"/>
      <c r="R51" s="17"/>
      <c r="S51" s="40">
        <v>0</v>
      </c>
      <c r="T51" s="17" t="str">
        <f>"0,0000"</f>
        <v>0,0000</v>
      </c>
      <c r="U51" s="14" t="s">
        <v>158</v>
      </c>
    </row>
    <row r="52" spans="1:21">
      <c r="A52" s="17" t="s">
        <v>15</v>
      </c>
      <c r="B52" s="14" t="s">
        <v>1449</v>
      </c>
      <c r="C52" s="14" t="s">
        <v>1470</v>
      </c>
      <c r="D52" s="14" t="s">
        <v>567</v>
      </c>
      <c r="E52" s="14" t="str">
        <f>"0,6699"</f>
        <v>0,6699</v>
      </c>
      <c r="F52" s="14" t="s">
        <v>1451</v>
      </c>
      <c r="G52" s="16" t="s">
        <v>420</v>
      </c>
      <c r="H52" s="15" t="s">
        <v>420</v>
      </c>
      <c r="I52" s="15" t="s">
        <v>442</v>
      </c>
      <c r="J52" s="17"/>
      <c r="K52" s="15" t="s">
        <v>209</v>
      </c>
      <c r="L52" s="15" t="s">
        <v>58</v>
      </c>
      <c r="M52" s="15" t="s">
        <v>59</v>
      </c>
      <c r="N52" s="17"/>
      <c r="O52" s="15" t="s">
        <v>421</v>
      </c>
      <c r="P52" s="15" t="s">
        <v>682</v>
      </c>
      <c r="Q52" s="15" t="s">
        <v>627</v>
      </c>
      <c r="R52" s="17"/>
      <c r="S52" s="40" t="str">
        <f>"615,0"</f>
        <v>615,0</v>
      </c>
      <c r="T52" s="17" t="str">
        <f>"451,5394"</f>
        <v>451,5394</v>
      </c>
      <c r="U52" s="14" t="s">
        <v>1452</v>
      </c>
    </row>
    <row r="53" spans="1:21">
      <c r="A53" s="20" t="s">
        <v>92</v>
      </c>
      <c r="B53" s="18" t="s">
        <v>595</v>
      </c>
      <c r="C53" s="18" t="s">
        <v>596</v>
      </c>
      <c r="D53" s="18" t="s">
        <v>468</v>
      </c>
      <c r="E53" s="18" t="str">
        <f>"0,6744"</f>
        <v>0,6744</v>
      </c>
      <c r="F53" s="18" t="s">
        <v>594</v>
      </c>
      <c r="G53" s="22" t="s">
        <v>71</v>
      </c>
      <c r="H53" s="22" t="s">
        <v>71</v>
      </c>
      <c r="I53" s="22" t="s">
        <v>71</v>
      </c>
      <c r="J53" s="20"/>
      <c r="K53" s="20"/>
      <c r="L53" s="20"/>
      <c r="M53" s="22"/>
      <c r="N53" s="20"/>
      <c r="O53" s="20"/>
      <c r="P53" s="22"/>
      <c r="Q53" s="20"/>
      <c r="R53" s="20"/>
      <c r="S53" s="38">
        <v>0</v>
      </c>
      <c r="T53" s="20" t="str">
        <f>"0,0000"</f>
        <v>0,0000</v>
      </c>
      <c r="U53" s="18" t="s">
        <v>1471</v>
      </c>
    </row>
    <row r="54" spans="1:21">
      <c r="B54" s="5" t="s">
        <v>40</v>
      </c>
    </row>
    <row r="55" spans="1:21" ht="15.95">
      <c r="A55" s="102" t="s">
        <v>598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</row>
    <row r="56" spans="1:21">
      <c r="A56" s="13" t="s">
        <v>15</v>
      </c>
      <c r="B56" s="11" t="s">
        <v>1472</v>
      </c>
      <c r="C56" s="11" t="s">
        <v>1473</v>
      </c>
      <c r="D56" s="11" t="s">
        <v>1474</v>
      </c>
      <c r="E56" s="11" t="str">
        <f>"0,6451"</f>
        <v>0,6451</v>
      </c>
      <c r="F56" s="11" t="s">
        <v>232</v>
      </c>
      <c r="G56" s="12" t="s">
        <v>374</v>
      </c>
      <c r="H56" s="12" t="s">
        <v>384</v>
      </c>
      <c r="I56" s="21" t="s">
        <v>441</v>
      </c>
      <c r="J56" s="13"/>
      <c r="K56" s="12" t="s">
        <v>69</v>
      </c>
      <c r="L56" s="12" t="s">
        <v>84</v>
      </c>
      <c r="M56" s="12" t="s">
        <v>162</v>
      </c>
      <c r="N56" s="13"/>
      <c r="O56" s="12" t="s">
        <v>374</v>
      </c>
      <c r="P56" s="12" t="s">
        <v>384</v>
      </c>
      <c r="Q56" s="12" t="s">
        <v>436</v>
      </c>
      <c r="R56" s="13"/>
      <c r="S56" s="37" t="str">
        <f>"547,5"</f>
        <v>547,5</v>
      </c>
      <c r="T56" s="13" t="str">
        <f>"353,1922"</f>
        <v>353,1922</v>
      </c>
      <c r="U56" s="11" t="s">
        <v>799</v>
      </c>
    </row>
    <row r="57" spans="1:21">
      <c r="A57" s="17" t="s">
        <v>62</v>
      </c>
      <c r="B57" s="14" t="s">
        <v>1475</v>
      </c>
      <c r="C57" s="14" t="s">
        <v>1476</v>
      </c>
      <c r="D57" s="14" t="s">
        <v>653</v>
      </c>
      <c r="E57" s="14" t="str">
        <f>"0,6475"</f>
        <v>0,6475</v>
      </c>
      <c r="F57" s="14" t="s">
        <v>1477</v>
      </c>
      <c r="G57" s="15" t="s">
        <v>152</v>
      </c>
      <c r="H57" s="16" t="s">
        <v>351</v>
      </c>
      <c r="I57" s="15" t="s">
        <v>351</v>
      </c>
      <c r="J57" s="17"/>
      <c r="K57" s="15" t="s">
        <v>84</v>
      </c>
      <c r="L57" s="16" t="s">
        <v>162</v>
      </c>
      <c r="M57" s="15" t="s">
        <v>162</v>
      </c>
      <c r="N57" s="17"/>
      <c r="O57" s="15" t="s">
        <v>508</v>
      </c>
      <c r="P57" s="16" t="s">
        <v>422</v>
      </c>
      <c r="Q57" s="16" t="s">
        <v>437</v>
      </c>
      <c r="R57" s="17"/>
      <c r="S57" s="40" t="str">
        <f>"530,0"</f>
        <v>530,0</v>
      </c>
      <c r="T57" s="17" t="str">
        <f>"343,1750"</f>
        <v>343,1750</v>
      </c>
      <c r="U57" s="14" t="s">
        <v>158</v>
      </c>
    </row>
    <row r="58" spans="1:21">
      <c r="A58" s="17" t="s">
        <v>15</v>
      </c>
      <c r="B58" s="14" t="s">
        <v>1478</v>
      </c>
      <c r="C58" s="14" t="s">
        <v>1479</v>
      </c>
      <c r="D58" s="14" t="s">
        <v>1480</v>
      </c>
      <c r="E58" s="14" t="str">
        <f>"0,6413"</f>
        <v>0,6413</v>
      </c>
      <c r="F58" s="14" t="s">
        <v>1481</v>
      </c>
      <c r="G58" s="15" t="s">
        <v>523</v>
      </c>
      <c r="H58" s="15" t="s">
        <v>738</v>
      </c>
      <c r="I58" s="16" t="s">
        <v>804</v>
      </c>
      <c r="J58" s="17"/>
      <c r="K58" s="15" t="s">
        <v>151</v>
      </c>
      <c r="L58" s="16" t="s">
        <v>152</v>
      </c>
      <c r="M58" s="16" t="s">
        <v>152</v>
      </c>
      <c r="N58" s="17"/>
      <c r="O58" s="15" t="s">
        <v>422</v>
      </c>
      <c r="P58" s="16" t="s">
        <v>490</v>
      </c>
      <c r="Q58" s="15" t="s">
        <v>1042</v>
      </c>
      <c r="R58" s="17"/>
      <c r="S58" s="40" t="str">
        <f>"702,5"</f>
        <v>702,5</v>
      </c>
      <c r="T58" s="17" t="str">
        <f>"450,5133"</f>
        <v>450,5133</v>
      </c>
      <c r="U58" s="14" t="s">
        <v>158</v>
      </c>
    </row>
    <row r="59" spans="1:21">
      <c r="A59" s="17" t="s">
        <v>62</v>
      </c>
      <c r="B59" s="14" t="s">
        <v>1482</v>
      </c>
      <c r="C59" s="14" t="s">
        <v>1483</v>
      </c>
      <c r="D59" s="14" t="s">
        <v>1076</v>
      </c>
      <c r="E59" s="14" t="str">
        <f>"0,6447"</f>
        <v>0,6447</v>
      </c>
      <c r="F59" s="14" t="s">
        <v>91</v>
      </c>
      <c r="G59" s="15" t="s">
        <v>490</v>
      </c>
      <c r="H59" s="15" t="s">
        <v>523</v>
      </c>
      <c r="I59" s="16" t="s">
        <v>754</v>
      </c>
      <c r="J59" s="17"/>
      <c r="K59" s="15" t="s">
        <v>60</v>
      </c>
      <c r="L59" s="15" t="s">
        <v>151</v>
      </c>
      <c r="M59" s="16" t="s">
        <v>152</v>
      </c>
      <c r="N59" s="17"/>
      <c r="O59" s="15" t="s">
        <v>523</v>
      </c>
      <c r="P59" s="15" t="s">
        <v>738</v>
      </c>
      <c r="Q59" s="16" t="s">
        <v>745</v>
      </c>
      <c r="R59" s="17"/>
      <c r="S59" s="40" t="str">
        <f>"700,0"</f>
        <v>700,0</v>
      </c>
      <c r="T59" s="17" t="str">
        <f>"451,2900"</f>
        <v>451,2900</v>
      </c>
      <c r="U59" s="14" t="s">
        <v>158</v>
      </c>
    </row>
    <row r="60" spans="1:21">
      <c r="A60" s="17" t="s">
        <v>73</v>
      </c>
      <c r="B60" s="14" t="s">
        <v>1484</v>
      </c>
      <c r="C60" s="14" t="s">
        <v>1485</v>
      </c>
      <c r="D60" s="14" t="s">
        <v>1486</v>
      </c>
      <c r="E60" s="14" t="str">
        <f>"0,6421"</f>
        <v>0,6421</v>
      </c>
      <c r="F60" s="14" t="s">
        <v>1487</v>
      </c>
      <c r="G60" s="15" t="s">
        <v>420</v>
      </c>
      <c r="H60" s="15" t="s">
        <v>459</v>
      </c>
      <c r="I60" s="15" t="s">
        <v>490</v>
      </c>
      <c r="J60" s="17"/>
      <c r="K60" s="16" t="s">
        <v>342</v>
      </c>
      <c r="L60" s="15" t="s">
        <v>342</v>
      </c>
      <c r="M60" s="16" t="s">
        <v>205</v>
      </c>
      <c r="N60" s="17"/>
      <c r="O60" s="15" t="s">
        <v>490</v>
      </c>
      <c r="P60" s="15" t="s">
        <v>491</v>
      </c>
      <c r="Q60" s="16" t="s">
        <v>738</v>
      </c>
      <c r="R60" s="17"/>
      <c r="S60" s="40" t="str">
        <f>"667,5"</f>
        <v>667,5</v>
      </c>
      <c r="T60" s="17" t="str">
        <f>"428,6017"</f>
        <v>428,6017</v>
      </c>
      <c r="U60" s="14" t="s">
        <v>158</v>
      </c>
    </row>
    <row r="61" spans="1:21">
      <c r="A61" s="17" t="s">
        <v>75</v>
      </c>
      <c r="B61" s="14" t="s">
        <v>1488</v>
      </c>
      <c r="C61" s="14" t="s">
        <v>1489</v>
      </c>
      <c r="D61" s="14" t="s">
        <v>1081</v>
      </c>
      <c r="E61" s="14" t="str">
        <f>"0,6384"</f>
        <v>0,6384</v>
      </c>
      <c r="F61" s="14" t="s">
        <v>91</v>
      </c>
      <c r="G61" s="15" t="s">
        <v>421</v>
      </c>
      <c r="H61" s="15" t="s">
        <v>422</v>
      </c>
      <c r="I61" s="17"/>
      <c r="J61" s="17"/>
      <c r="K61" s="16" t="s">
        <v>60</v>
      </c>
      <c r="L61" s="16" t="s">
        <v>60</v>
      </c>
      <c r="M61" s="15" t="s">
        <v>60</v>
      </c>
      <c r="N61" s="17"/>
      <c r="O61" s="15" t="s">
        <v>374</v>
      </c>
      <c r="P61" s="15" t="s">
        <v>384</v>
      </c>
      <c r="Q61" s="15" t="s">
        <v>420</v>
      </c>
      <c r="R61" s="17"/>
      <c r="S61" s="40" t="str">
        <f>"610,0"</f>
        <v>610,0</v>
      </c>
      <c r="T61" s="17" t="str">
        <f>"389,4240"</f>
        <v>389,4240</v>
      </c>
      <c r="U61" s="14" t="s">
        <v>158</v>
      </c>
    </row>
    <row r="62" spans="1:21">
      <c r="A62" s="17" t="s">
        <v>87</v>
      </c>
      <c r="B62" s="14" t="s">
        <v>1490</v>
      </c>
      <c r="C62" s="14" t="s">
        <v>1491</v>
      </c>
      <c r="D62" s="14" t="s">
        <v>1492</v>
      </c>
      <c r="E62" s="14" t="str">
        <f>"0,6406"</f>
        <v>0,6406</v>
      </c>
      <c r="F62" s="14" t="s">
        <v>1493</v>
      </c>
      <c r="G62" s="15" t="s">
        <v>384</v>
      </c>
      <c r="H62" s="16" t="s">
        <v>420</v>
      </c>
      <c r="I62" s="16" t="s">
        <v>420</v>
      </c>
      <c r="J62" s="17"/>
      <c r="K62" s="15" t="s">
        <v>70</v>
      </c>
      <c r="L62" s="15" t="s">
        <v>85</v>
      </c>
      <c r="M62" s="15" t="s">
        <v>157</v>
      </c>
      <c r="N62" s="17"/>
      <c r="O62" s="15" t="s">
        <v>422</v>
      </c>
      <c r="P62" s="15" t="s">
        <v>490</v>
      </c>
      <c r="Q62" s="16" t="s">
        <v>523</v>
      </c>
      <c r="R62" s="17"/>
      <c r="S62" s="40" t="str">
        <f>"592,5"</f>
        <v>592,5</v>
      </c>
      <c r="T62" s="17" t="str">
        <f>"379,5555"</f>
        <v>379,5555</v>
      </c>
      <c r="U62" s="14" t="s">
        <v>158</v>
      </c>
    </row>
    <row r="63" spans="1:21">
      <c r="A63" s="17" t="s">
        <v>168</v>
      </c>
      <c r="B63" s="14" t="s">
        <v>1494</v>
      </c>
      <c r="C63" s="14" t="s">
        <v>1495</v>
      </c>
      <c r="D63" s="14" t="s">
        <v>1474</v>
      </c>
      <c r="E63" s="14" t="str">
        <f>"0,6451"</f>
        <v>0,6451</v>
      </c>
      <c r="F63" s="14" t="s">
        <v>262</v>
      </c>
      <c r="G63" s="15" t="s">
        <v>436</v>
      </c>
      <c r="H63" s="16" t="s">
        <v>507</v>
      </c>
      <c r="I63" s="16" t="s">
        <v>507</v>
      </c>
      <c r="J63" s="17"/>
      <c r="K63" s="15" t="s">
        <v>145</v>
      </c>
      <c r="L63" s="15" t="s">
        <v>157</v>
      </c>
      <c r="M63" s="15" t="s">
        <v>147</v>
      </c>
      <c r="N63" s="17"/>
      <c r="O63" s="15" t="s">
        <v>421</v>
      </c>
      <c r="P63" s="16" t="s">
        <v>490</v>
      </c>
      <c r="Q63" s="16" t="s">
        <v>490</v>
      </c>
      <c r="R63" s="17"/>
      <c r="S63" s="40" t="str">
        <f>"582,5"</f>
        <v>582,5</v>
      </c>
      <c r="T63" s="17" t="str">
        <f>"375,7707"</f>
        <v>375,7707</v>
      </c>
      <c r="U63" s="14" t="s">
        <v>1496</v>
      </c>
    </row>
    <row r="64" spans="1:21">
      <c r="A64" s="17" t="s">
        <v>172</v>
      </c>
      <c r="B64" s="14" t="s">
        <v>1497</v>
      </c>
      <c r="C64" s="14" t="s">
        <v>1498</v>
      </c>
      <c r="D64" s="14" t="s">
        <v>1499</v>
      </c>
      <c r="E64" s="14" t="str">
        <f>"0,6507"</f>
        <v>0,6507</v>
      </c>
      <c r="F64" s="14" t="s">
        <v>166</v>
      </c>
      <c r="G64" s="15" t="s">
        <v>398</v>
      </c>
      <c r="H64" s="16" t="s">
        <v>392</v>
      </c>
      <c r="I64" s="16" t="s">
        <v>374</v>
      </c>
      <c r="J64" s="17"/>
      <c r="K64" s="15" t="s">
        <v>70</v>
      </c>
      <c r="L64" s="15" t="s">
        <v>145</v>
      </c>
      <c r="M64" s="17"/>
      <c r="N64" s="17"/>
      <c r="O64" s="15" t="s">
        <v>421</v>
      </c>
      <c r="P64" s="15" t="s">
        <v>422</v>
      </c>
      <c r="Q64" s="16" t="s">
        <v>431</v>
      </c>
      <c r="R64" s="17"/>
      <c r="S64" s="40" t="str">
        <f>"545,0"</f>
        <v>545,0</v>
      </c>
      <c r="T64" s="17" t="str">
        <f>"354,6315"</f>
        <v>354,6315</v>
      </c>
      <c r="U64" s="14" t="s">
        <v>799</v>
      </c>
    </row>
    <row r="65" spans="1:21">
      <c r="A65" s="17" t="s">
        <v>178</v>
      </c>
      <c r="B65" s="14" t="s">
        <v>1500</v>
      </c>
      <c r="C65" s="14" t="s">
        <v>1501</v>
      </c>
      <c r="D65" s="14" t="s">
        <v>1502</v>
      </c>
      <c r="E65" s="14" t="str">
        <f>"0,6519"</f>
        <v>0,6519</v>
      </c>
      <c r="F65" s="14" t="s">
        <v>1503</v>
      </c>
      <c r="G65" s="15" t="s">
        <v>205</v>
      </c>
      <c r="H65" s="16" t="s">
        <v>152</v>
      </c>
      <c r="I65" s="16" t="s">
        <v>152</v>
      </c>
      <c r="J65" s="17"/>
      <c r="K65" s="16" t="s">
        <v>70</v>
      </c>
      <c r="L65" s="15" t="s">
        <v>70</v>
      </c>
      <c r="M65" s="16" t="s">
        <v>145</v>
      </c>
      <c r="N65" s="17"/>
      <c r="O65" s="16" t="s">
        <v>152</v>
      </c>
      <c r="P65" s="16" t="s">
        <v>152</v>
      </c>
      <c r="Q65" s="15" t="s">
        <v>351</v>
      </c>
      <c r="R65" s="17"/>
      <c r="S65" s="40" t="str">
        <f>"450,0"</f>
        <v>450,0</v>
      </c>
      <c r="T65" s="17" t="str">
        <f>"293,3550"</f>
        <v>293,3550</v>
      </c>
      <c r="U65" s="14" t="s">
        <v>158</v>
      </c>
    </row>
    <row r="66" spans="1:21">
      <c r="A66" s="17" t="s">
        <v>15</v>
      </c>
      <c r="B66" s="14" t="s">
        <v>1504</v>
      </c>
      <c r="C66" s="14" t="s">
        <v>1505</v>
      </c>
      <c r="D66" s="14" t="s">
        <v>1118</v>
      </c>
      <c r="E66" s="14" t="str">
        <f>"0,6440"</f>
        <v>0,6440</v>
      </c>
      <c r="F66" s="14" t="s">
        <v>156</v>
      </c>
      <c r="G66" s="15" t="s">
        <v>398</v>
      </c>
      <c r="H66" s="16" t="s">
        <v>392</v>
      </c>
      <c r="I66" s="16" t="s">
        <v>383</v>
      </c>
      <c r="J66" s="17"/>
      <c r="K66" s="15" t="s">
        <v>49</v>
      </c>
      <c r="L66" s="15" t="s">
        <v>69</v>
      </c>
      <c r="M66" s="16" t="s">
        <v>55</v>
      </c>
      <c r="N66" s="17"/>
      <c r="O66" s="15" t="s">
        <v>398</v>
      </c>
      <c r="P66" s="15" t="s">
        <v>392</v>
      </c>
      <c r="Q66" s="15" t="s">
        <v>383</v>
      </c>
      <c r="R66" s="17"/>
      <c r="S66" s="40" t="str">
        <f>"485,0"</f>
        <v>485,0</v>
      </c>
      <c r="T66" s="17" t="str">
        <f>"370,7476"</f>
        <v>370,7476</v>
      </c>
      <c r="U66" s="14" t="s">
        <v>158</v>
      </c>
    </row>
    <row r="67" spans="1:21">
      <c r="A67" s="17" t="s">
        <v>62</v>
      </c>
      <c r="B67" s="14" t="s">
        <v>1506</v>
      </c>
      <c r="C67" s="14" t="s">
        <v>1507</v>
      </c>
      <c r="D67" s="14" t="s">
        <v>615</v>
      </c>
      <c r="E67" s="14" t="str">
        <f>"0,6491"</f>
        <v>0,6491</v>
      </c>
      <c r="F67" s="14" t="s">
        <v>594</v>
      </c>
      <c r="G67" s="16" t="s">
        <v>26</v>
      </c>
      <c r="H67" s="15" t="s">
        <v>26</v>
      </c>
      <c r="I67" s="15" t="s">
        <v>81</v>
      </c>
      <c r="J67" s="17"/>
      <c r="K67" s="15" t="s">
        <v>103</v>
      </c>
      <c r="L67" s="15" t="s">
        <v>26</v>
      </c>
      <c r="M67" s="16" t="s">
        <v>33</v>
      </c>
      <c r="N67" s="17"/>
      <c r="O67" s="15" t="s">
        <v>80</v>
      </c>
      <c r="P67" s="15" t="s">
        <v>36</v>
      </c>
      <c r="Q67" s="15" t="s">
        <v>38</v>
      </c>
      <c r="R67" s="17"/>
      <c r="S67" s="40" t="str">
        <f>"240,0"</f>
        <v>240,0</v>
      </c>
      <c r="T67" s="17" t="str">
        <f>"205,9464"</f>
        <v>205,9464</v>
      </c>
      <c r="U67" s="14" t="s">
        <v>597</v>
      </c>
    </row>
    <row r="68" spans="1:21">
      <c r="A68" s="20" t="s">
        <v>15</v>
      </c>
      <c r="B68" s="18" t="s">
        <v>1508</v>
      </c>
      <c r="C68" s="18" t="s">
        <v>1509</v>
      </c>
      <c r="D68" s="18" t="s">
        <v>1510</v>
      </c>
      <c r="E68" s="18" t="str">
        <f>"0,6624"</f>
        <v>0,6624</v>
      </c>
      <c r="F68" s="18" t="s">
        <v>1105</v>
      </c>
      <c r="G68" s="19" t="s">
        <v>70</v>
      </c>
      <c r="H68" s="22" t="s">
        <v>71</v>
      </c>
      <c r="I68" s="20"/>
      <c r="J68" s="20"/>
      <c r="K68" s="19" t="s">
        <v>36</v>
      </c>
      <c r="L68" s="22" t="s">
        <v>37</v>
      </c>
      <c r="M68" s="19" t="s">
        <v>37</v>
      </c>
      <c r="N68" s="20"/>
      <c r="O68" s="19" t="s">
        <v>209</v>
      </c>
      <c r="P68" s="19" t="s">
        <v>59</v>
      </c>
      <c r="Q68" s="20"/>
      <c r="R68" s="20"/>
      <c r="S68" s="38" t="str">
        <f>"360,0"</f>
        <v>360,0</v>
      </c>
      <c r="T68" s="20" t="str">
        <f>"329,0803"</f>
        <v>329,0803</v>
      </c>
      <c r="U68" s="18" t="s">
        <v>158</v>
      </c>
    </row>
    <row r="69" spans="1:21">
      <c r="B69" s="5" t="s">
        <v>40</v>
      </c>
    </row>
    <row r="70" spans="1:21" ht="15.95">
      <c r="A70" s="102" t="s">
        <v>670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</row>
    <row r="71" spans="1:21">
      <c r="A71" s="13" t="s">
        <v>15</v>
      </c>
      <c r="B71" s="11" t="s">
        <v>1511</v>
      </c>
      <c r="C71" s="11" t="s">
        <v>1512</v>
      </c>
      <c r="D71" s="11" t="s">
        <v>1513</v>
      </c>
      <c r="E71" s="11" t="str">
        <f>"0,6166"</f>
        <v>0,6166</v>
      </c>
      <c r="F71" s="11" t="s">
        <v>594</v>
      </c>
      <c r="G71" s="12" t="s">
        <v>70</v>
      </c>
      <c r="H71" s="21" t="s">
        <v>71</v>
      </c>
      <c r="I71" s="21" t="s">
        <v>58</v>
      </c>
      <c r="J71" s="13"/>
      <c r="K71" s="12" t="s">
        <v>81</v>
      </c>
      <c r="L71" s="12" t="s">
        <v>36</v>
      </c>
      <c r="M71" s="12" t="s">
        <v>37</v>
      </c>
      <c r="N71" s="13"/>
      <c r="O71" s="12" t="s">
        <v>69</v>
      </c>
      <c r="P71" s="12" t="s">
        <v>71</v>
      </c>
      <c r="Q71" s="21" t="s">
        <v>58</v>
      </c>
      <c r="R71" s="13"/>
      <c r="S71" s="37" t="str">
        <f>"345,0"</f>
        <v>345,0</v>
      </c>
      <c r="T71" s="13" t="str">
        <f>"212,7270"</f>
        <v>212,7270</v>
      </c>
      <c r="U71" s="11" t="s">
        <v>1514</v>
      </c>
    </row>
    <row r="72" spans="1:21">
      <c r="A72" s="17" t="s">
        <v>15</v>
      </c>
      <c r="B72" s="14" t="s">
        <v>1515</v>
      </c>
      <c r="C72" s="14" t="s">
        <v>1516</v>
      </c>
      <c r="D72" s="14" t="s">
        <v>1517</v>
      </c>
      <c r="E72" s="14" t="str">
        <f>"0,6194"</f>
        <v>0,6194</v>
      </c>
      <c r="F72" s="14" t="s">
        <v>91</v>
      </c>
      <c r="G72" s="15" t="s">
        <v>368</v>
      </c>
      <c r="H72" s="16" t="s">
        <v>392</v>
      </c>
      <c r="I72" s="16" t="s">
        <v>506</v>
      </c>
      <c r="J72" s="17"/>
      <c r="K72" s="15" t="s">
        <v>60</v>
      </c>
      <c r="L72" s="16" t="s">
        <v>205</v>
      </c>
      <c r="M72" s="16" t="s">
        <v>205</v>
      </c>
      <c r="N72" s="17"/>
      <c r="O72" s="16" t="s">
        <v>374</v>
      </c>
      <c r="P72" s="15" t="s">
        <v>374</v>
      </c>
      <c r="Q72" s="16" t="s">
        <v>420</v>
      </c>
      <c r="R72" s="17"/>
      <c r="S72" s="40" t="str">
        <f>"535,0"</f>
        <v>535,0</v>
      </c>
      <c r="T72" s="17" t="str">
        <f>"331,3790"</f>
        <v>331,3790</v>
      </c>
      <c r="U72" s="14" t="s">
        <v>1518</v>
      </c>
    </row>
    <row r="73" spans="1:21">
      <c r="A73" s="17" t="s">
        <v>15</v>
      </c>
      <c r="B73" s="14" t="s">
        <v>1519</v>
      </c>
      <c r="C73" s="14" t="s">
        <v>1520</v>
      </c>
      <c r="D73" s="14" t="s">
        <v>1521</v>
      </c>
      <c r="E73" s="14" t="str">
        <f>"0,6172"</f>
        <v>0,6172</v>
      </c>
      <c r="F73" s="14" t="s">
        <v>1522</v>
      </c>
      <c r="G73" s="15" t="s">
        <v>491</v>
      </c>
      <c r="H73" s="15" t="s">
        <v>754</v>
      </c>
      <c r="I73" s="15" t="s">
        <v>803</v>
      </c>
      <c r="J73" s="17"/>
      <c r="K73" s="15" t="s">
        <v>398</v>
      </c>
      <c r="L73" s="15" t="s">
        <v>454</v>
      </c>
      <c r="M73" s="16" t="s">
        <v>743</v>
      </c>
      <c r="N73" s="17"/>
      <c r="O73" s="15" t="s">
        <v>1086</v>
      </c>
      <c r="P73" s="16" t="s">
        <v>1087</v>
      </c>
      <c r="Q73" s="15" t="s">
        <v>842</v>
      </c>
      <c r="R73" s="16" t="s">
        <v>1229</v>
      </c>
      <c r="S73" s="40" t="str">
        <f>"815,0"</f>
        <v>815,0</v>
      </c>
      <c r="T73" s="17" t="str">
        <f>"503,0180"</f>
        <v>503,0180</v>
      </c>
      <c r="U73" s="14" t="s">
        <v>1523</v>
      </c>
    </row>
    <row r="74" spans="1:21">
      <c r="A74" s="17" t="s">
        <v>62</v>
      </c>
      <c r="B74" s="14" t="s">
        <v>1524</v>
      </c>
      <c r="C74" s="14" t="s">
        <v>1525</v>
      </c>
      <c r="D74" s="14" t="s">
        <v>681</v>
      </c>
      <c r="E74" s="14" t="str">
        <f>"0,6093"</f>
        <v>0,6093</v>
      </c>
      <c r="F74" s="14" t="s">
        <v>1439</v>
      </c>
      <c r="G74" s="15" t="s">
        <v>422</v>
      </c>
      <c r="H74" s="16" t="s">
        <v>490</v>
      </c>
      <c r="I74" s="16" t="s">
        <v>523</v>
      </c>
      <c r="J74" s="17"/>
      <c r="K74" s="15" t="s">
        <v>151</v>
      </c>
      <c r="L74" s="16" t="s">
        <v>248</v>
      </c>
      <c r="M74" s="16" t="s">
        <v>248</v>
      </c>
      <c r="N74" s="17"/>
      <c r="O74" s="15" t="s">
        <v>523</v>
      </c>
      <c r="P74" s="15" t="s">
        <v>640</v>
      </c>
      <c r="Q74" s="16" t="s">
        <v>754</v>
      </c>
      <c r="R74" s="17"/>
      <c r="S74" s="40" t="str">
        <f>"670,0"</f>
        <v>670,0</v>
      </c>
      <c r="T74" s="17" t="str">
        <f>"408,2310"</f>
        <v>408,2310</v>
      </c>
      <c r="U74" s="14" t="s">
        <v>158</v>
      </c>
    </row>
    <row r="75" spans="1:21">
      <c r="A75" s="17" t="s">
        <v>92</v>
      </c>
      <c r="B75" s="14" t="s">
        <v>1526</v>
      </c>
      <c r="C75" s="14" t="s">
        <v>1527</v>
      </c>
      <c r="D75" s="14" t="s">
        <v>1124</v>
      </c>
      <c r="E75" s="14" t="str">
        <f>"0,6197"</f>
        <v>0,6197</v>
      </c>
      <c r="F75" s="14" t="s">
        <v>426</v>
      </c>
      <c r="G75" s="16" t="s">
        <v>374</v>
      </c>
      <c r="H75" s="16" t="s">
        <v>399</v>
      </c>
      <c r="I75" s="16" t="s">
        <v>399</v>
      </c>
      <c r="J75" s="17"/>
      <c r="K75" s="17"/>
      <c r="L75" s="16"/>
      <c r="M75" s="16"/>
      <c r="N75" s="17"/>
      <c r="O75" s="17"/>
      <c r="P75" s="17"/>
      <c r="Q75" s="17"/>
      <c r="R75" s="17"/>
      <c r="S75" s="40">
        <v>0</v>
      </c>
      <c r="T75" s="17" t="str">
        <f>"0,0000"</f>
        <v>0,0000</v>
      </c>
      <c r="U75" s="14" t="s">
        <v>158</v>
      </c>
    </row>
    <row r="76" spans="1:21">
      <c r="A76" s="17" t="s">
        <v>92</v>
      </c>
      <c r="B76" s="14" t="s">
        <v>1528</v>
      </c>
      <c r="C76" s="14" t="s">
        <v>1529</v>
      </c>
      <c r="D76" s="14" t="s">
        <v>1210</v>
      </c>
      <c r="E76" s="14" t="str">
        <f>"0,6088"</f>
        <v>0,6088</v>
      </c>
      <c r="F76" s="14" t="s">
        <v>222</v>
      </c>
      <c r="G76" s="16" t="s">
        <v>384</v>
      </c>
      <c r="H76" s="16" t="s">
        <v>384</v>
      </c>
      <c r="I76" s="16" t="s">
        <v>384</v>
      </c>
      <c r="J76" s="17"/>
      <c r="K76" s="17"/>
      <c r="L76" s="17"/>
      <c r="M76" s="17"/>
      <c r="N76" s="17"/>
      <c r="O76" s="17"/>
      <c r="P76" s="17"/>
      <c r="Q76" s="17"/>
      <c r="R76" s="17"/>
      <c r="S76" s="40">
        <v>0</v>
      </c>
      <c r="T76" s="17" t="str">
        <f>"0,0000"</f>
        <v>0,0000</v>
      </c>
      <c r="U76" s="14" t="s">
        <v>1530</v>
      </c>
    </row>
    <row r="77" spans="1:21">
      <c r="A77" s="20" t="s">
        <v>15</v>
      </c>
      <c r="B77" s="18" t="s">
        <v>1531</v>
      </c>
      <c r="C77" s="18" t="s">
        <v>1532</v>
      </c>
      <c r="D77" s="18" t="s">
        <v>673</v>
      </c>
      <c r="E77" s="18" t="str">
        <f>"0,6136"</f>
        <v>0,6136</v>
      </c>
      <c r="F77" s="18" t="s">
        <v>1533</v>
      </c>
      <c r="G77" s="19" t="s">
        <v>490</v>
      </c>
      <c r="H77" s="19" t="s">
        <v>640</v>
      </c>
      <c r="I77" s="22" t="s">
        <v>738</v>
      </c>
      <c r="J77" s="20"/>
      <c r="K77" s="19" t="s">
        <v>60</v>
      </c>
      <c r="L77" s="19" t="s">
        <v>151</v>
      </c>
      <c r="M77" s="19" t="s">
        <v>152</v>
      </c>
      <c r="N77" s="20"/>
      <c r="O77" s="19" t="s">
        <v>627</v>
      </c>
      <c r="P77" s="22" t="s">
        <v>529</v>
      </c>
      <c r="Q77" s="20"/>
      <c r="R77" s="20"/>
      <c r="S77" s="38" t="str">
        <f>"680,0"</f>
        <v>680,0</v>
      </c>
      <c r="T77" s="20" t="str">
        <f>"423,0895"</f>
        <v>423,0895</v>
      </c>
      <c r="U77" s="18" t="s">
        <v>1534</v>
      </c>
    </row>
    <row r="78" spans="1:21">
      <c r="B78" s="5" t="s">
        <v>40</v>
      </c>
    </row>
    <row r="79" spans="1:21" ht="15.95">
      <c r="A79" s="102" t="s">
        <v>724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</row>
    <row r="80" spans="1:21">
      <c r="A80" s="13" t="s">
        <v>92</v>
      </c>
      <c r="B80" s="11" t="s">
        <v>1535</v>
      </c>
      <c r="C80" s="11" t="s">
        <v>1536</v>
      </c>
      <c r="D80" s="11" t="s">
        <v>1537</v>
      </c>
      <c r="E80" s="11" t="str">
        <f>"0,5988"</f>
        <v>0,5988</v>
      </c>
      <c r="F80" s="11" t="s">
        <v>1538</v>
      </c>
      <c r="G80" s="21" t="s">
        <v>507</v>
      </c>
      <c r="H80" s="12" t="s">
        <v>421</v>
      </c>
      <c r="I80" s="12" t="s">
        <v>682</v>
      </c>
      <c r="J80" s="13"/>
      <c r="K80" s="12" t="s">
        <v>204</v>
      </c>
      <c r="L80" s="12" t="s">
        <v>342</v>
      </c>
      <c r="M80" s="12" t="s">
        <v>205</v>
      </c>
      <c r="N80" s="13"/>
      <c r="O80" s="21" t="s">
        <v>803</v>
      </c>
      <c r="P80" s="21" t="s">
        <v>803</v>
      </c>
      <c r="Q80" s="21" t="s">
        <v>803</v>
      </c>
      <c r="R80" s="13"/>
      <c r="S80" s="37">
        <v>0</v>
      </c>
      <c r="T80" s="13" t="str">
        <f>"0,0000"</f>
        <v>0,0000</v>
      </c>
      <c r="U80" s="11" t="s">
        <v>158</v>
      </c>
    </row>
    <row r="81" spans="1:21">
      <c r="A81" s="17" t="s">
        <v>15</v>
      </c>
      <c r="B81" s="14" t="s">
        <v>1539</v>
      </c>
      <c r="C81" s="14" t="s">
        <v>1540</v>
      </c>
      <c r="D81" s="14" t="s">
        <v>1269</v>
      </c>
      <c r="E81" s="14" t="str">
        <f>"0,5897"</f>
        <v>0,5897</v>
      </c>
      <c r="F81" s="14" t="s">
        <v>45</v>
      </c>
      <c r="G81" s="15" t="s">
        <v>491</v>
      </c>
      <c r="H81" s="15" t="s">
        <v>745</v>
      </c>
      <c r="I81" s="16" t="s">
        <v>804</v>
      </c>
      <c r="J81" s="17"/>
      <c r="K81" s="15" t="s">
        <v>248</v>
      </c>
      <c r="L81" s="15" t="s">
        <v>398</v>
      </c>
      <c r="M81" s="16" t="s">
        <v>368</v>
      </c>
      <c r="N81" s="17"/>
      <c r="O81" s="15" t="s">
        <v>738</v>
      </c>
      <c r="P81" s="15" t="s">
        <v>804</v>
      </c>
      <c r="Q81" s="15" t="s">
        <v>1043</v>
      </c>
      <c r="R81" s="17"/>
      <c r="S81" s="40" t="str">
        <f>"775,0"</f>
        <v>775,0</v>
      </c>
      <c r="T81" s="17" t="str">
        <f>"457,0175"</f>
        <v>457,0175</v>
      </c>
      <c r="U81" s="14" t="s">
        <v>50</v>
      </c>
    </row>
    <row r="82" spans="1:21">
      <c r="A82" s="17" t="s">
        <v>62</v>
      </c>
      <c r="B82" s="14" t="s">
        <v>1541</v>
      </c>
      <c r="C82" s="14" t="s">
        <v>1542</v>
      </c>
      <c r="D82" s="14" t="s">
        <v>1253</v>
      </c>
      <c r="E82" s="14" t="str">
        <f>"0,5893"</f>
        <v>0,5893</v>
      </c>
      <c r="F82" s="14" t="s">
        <v>364</v>
      </c>
      <c r="G82" s="15" t="s">
        <v>738</v>
      </c>
      <c r="H82" s="15" t="s">
        <v>823</v>
      </c>
      <c r="I82" s="16" t="s">
        <v>805</v>
      </c>
      <c r="J82" s="17"/>
      <c r="K82" s="15" t="s">
        <v>205</v>
      </c>
      <c r="L82" s="15" t="s">
        <v>151</v>
      </c>
      <c r="M82" s="16" t="s">
        <v>152</v>
      </c>
      <c r="N82" s="17"/>
      <c r="O82" s="15" t="s">
        <v>491</v>
      </c>
      <c r="P82" s="15" t="s">
        <v>738</v>
      </c>
      <c r="Q82" s="16" t="s">
        <v>822</v>
      </c>
      <c r="R82" s="17"/>
      <c r="S82" s="40" t="str">
        <f>"747,5"</f>
        <v>747,5</v>
      </c>
      <c r="T82" s="17" t="str">
        <f>"440,5017"</f>
        <v>440,5017</v>
      </c>
      <c r="U82" s="14" t="s">
        <v>447</v>
      </c>
    </row>
    <row r="83" spans="1:21">
      <c r="A83" s="20" t="s">
        <v>92</v>
      </c>
      <c r="B83" s="18" t="s">
        <v>1543</v>
      </c>
      <c r="C83" s="18" t="s">
        <v>1544</v>
      </c>
      <c r="D83" s="18" t="s">
        <v>1545</v>
      </c>
      <c r="E83" s="18" t="str">
        <f>"0,6004"</f>
        <v>0,6004</v>
      </c>
      <c r="F83" s="18" t="s">
        <v>1546</v>
      </c>
      <c r="G83" s="22" t="s">
        <v>442</v>
      </c>
      <c r="H83" s="22" t="s">
        <v>459</v>
      </c>
      <c r="I83" s="22" t="s">
        <v>459</v>
      </c>
      <c r="J83" s="20"/>
      <c r="K83" s="20"/>
      <c r="L83" s="20"/>
      <c r="M83" s="20"/>
      <c r="N83" s="20"/>
      <c r="O83" s="20"/>
      <c r="P83" s="20"/>
      <c r="Q83" s="20"/>
      <c r="R83" s="20"/>
      <c r="S83" s="38">
        <v>0</v>
      </c>
      <c r="T83" s="20" t="str">
        <f>"0,0000"</f>
        <v>0,0000</v>
      </c>
      <c r="U83" s="18" t="s">
        <v>158</v>
      </c>
    </row>
    <row r="84" spans="1:21">
      <c r="B84" s="5" t="s">
        <v>40</v>
      </c>
    </row>
    <row r="85" spans="1:21" ht="15.95">
      <c r="A85" s="102" t="s">
        <v>783</v>
      </c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</row>
    <row r="86" spans="1:21">
      <c r="A86" s="13" t="s">
        <v>15</v>
      </c>
      <c r="B86" s="11" t="s">
        <v>1547</v>
      </c>
      <c r="C86" s="11" t="s">
        <v>1548</v>
      </c>
      <c r="D86" s="11" t="s">
        <v>1549</v>
      </c>
      <c r="E86" s="11" t="str">
        <f>"0,5716"</f>
        <v>0,5716</v>
      </c>
      <c r="F86" s="11" t="s">
        <v>91</v>
      </c>
      <c r="G86" s="21" t="s">
        <v>368</v>
      </c>
      <c r="H86" s="12" t="s">
        <v>374</v>
      </c>
      <c r="I86" s="12" t="s">
        <v>384</v>
      </c>
      <c r="J86" s="13"/>
      <c r="K86" s="21" t="s">
        <v>38</v>
      </c>
      <c r="L86" s="12" t="s">
        <v>38</v>
      </c>
      <c r="M86" s="12" t="s">
        <v>47</v>
      </c>
      <c r="N86" s="13"/>
      <c r="O86" s="12" t="s">
        <v>392</v>
      </c>
      <c r="P86" s="12" t="s">
        <v>399</v>
      </c>
      <c r="Q86" s="12" t="s">
        <v>436</v>
      </c>
      <c r="R86" s="21" t="s">
        <v>442</v>
      </c>
      <c r="S86" s="37" t="str">
        <f>"532,5"</f>
        <v>532,5</v>
      </c>
      <c r="T86" s="13" t="str">
        <f>"304,3770"</f>
        <v>304,3770</v>
      </c>
      <c r="U86" s="11" t="s">
        <v>1550</v>
      </c>
    </row>
    <row r="87" spans="1:21">
      <c r="A87" s="20" t="s">
        <v>15</v>
      </c>
      <c r="B87" s="18" t="s">
        <v>1551</v>
      </c>
      <c r="C87" s="18" t="s">
        <v>1552</v>
      </c>
      <c r="D87" s="18" t="s">
        <v>1553</v>
      </c>
      <c r="E87" s="18" t="str">
        <f>"0,5778"</f>
        <v>0,5778</v>
      </c>
      <c r="F87" s="18" t="s">
        <v>45</v>
      </c>
      <c r="G87" s="19" t="s">
        <v>804</v>
      </c>
      <c r="H87" s="19" t="s">
        <v>1086</v>
      </c>
      <c r="I87" s="19" t="s">
        <v>1151</v>
      </c>
      <c r="J87" s="20"/>
      <c r="K87" s="19" t="s">
        <v>384</v>
      </c>
      <c r="L87" s="19" t="s">
        <v>442</v>
      </c>
      <c r="M87" s="22" t="s">
        <v>421</v>
      </c>
      <c r="N87" s="20"/>
      <c r="O87" s="19" t="s">
        <v>804</v>
      </c>
      <c r="P87" s="22" t="s">
        <v>1086</v>
      </c>
      <c r="Q87" s="22" t="s">
        <v>1086</v>
      </c>
      <c r="R87" s="20"/>
      <c r="S87" s="38" t="str">
        <f>"855,0"</f>
        <v>855,0</v>
      </c>
      <c r="T87" s="20" t="str">
        <f>"494,0190"</f>
        <v>494,0190</v>
      </c>
      <c r="U87" s="18" t="s">
        <v>158</v>
      </c>
    </row>
    <row r="88" spans="1:21">
      <c r="B88" s="5" t="s">
        <v>40</v>
      </c>
    </row>
    <row r="89" spans="1:21" ht="15.95">
      <c r="A89" s="102" t="s">
        <v>794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</row>
    <row r="90" spans="1:21">
      <c r="A90" s="13" t="s">
        <v>15</v>
      </c>
      <c r="B90" s="11" t="s">
        <v>1554</v>
      </c>
      <c r="C90" s="11" t="s">
        <v>1555</v>
      </c>
      <c r="D90" s="11" t="s">
        <v>1556</v>
      </c>
      <c r="E90" s="11" t="str">
        <f>"0,5601"</f>
        <v>0,5601</v>
      </c>
      <c r="F90" s="11" t="s">
        <v>222</v>
      </c>
      <c r="G90" s="21" t="s">
        <v>523</v>
      </c>
      <c r="H90" s="12" t="s">
        <v>523</v>
      </c>
      <c r="I90" s="13"/>
      <c r="J90" s="13"/>
      <c r="K90" s="12" t="s">
        <v>60</v>
      </c>
      <c r="L90" s="12" t="s">
        <v>342</v>
      </c>
      <c r="M90" s="12" t="s">
        <v>254</v>
      </c>
      <c r="N90" s="13"/>
      <c r="O90" s="12" t="s">
        <v>627</v>
      </c>
      <c r="P90" s="21" t="s">
        <v>529</v>
      </c>
      <c r="Q90" s="13"/>
      <c r="R90" s="13"/>
      <c r="S90" s="37" t="str">
        <f>"662,5"</f>
        <v>662,5</v>
      </c>
      <c r="T90" s="13" t="str">
        <f>"371,0663"</f>
        <v>371,0663</v>
      </c>
      <c r="U90" s="11" t="s">
        <v>223</v>
      </c>
    </row>
    <row r="91" spans="1:21">
      <c r="A91" s="17" t="s">
        <v>15</v>
      </c>
      <c r="B91" s="14" t="s">
        <v>1557</v>
      </c>
      <c r="C91" s="14" t="s">
        <v>1558</v>
      </c>
      <c r="D91" s="14" t="s">
        <v>1559</v>
      </c>
      <c r="E91" s="14" t="str">
        <f>"0,5686"</f>
        <v>0,5686</v>
      </c>
      <c r="F91" s="14" t="s">
        <v>91</v>
      </c>
      <c r="G91" s="16" t="s">
        <v>420</v>
      </c>
      <c r="H91" s="16" t="s">
        <v>459</v>
      </c>
      <c r="I91" s="15" t="s">
        <v>459</v>
      </c>
      <c r="J91" s="17"/>
      <c r="K91" s="15" t="s">
        <v>151</v>
      </c>
      <c r="L91" s="15" t="s">
        <v>248</v>
      </c>
      <c r="M91" s="15" t="s">
        <v>398</v>
      </c>
      <c r="N91" s="17"/>
      <c r="O91" s="15" t="s">
        <v>420</v>
      </c>
      <c r="P91" s="16" t="s">
        <v>422</v>
      </c>
      <c r="Q91" s="15" t="s">
        <v>422</v>
      </c>
      <c r="R91" s="17"/>
      <c r="S91" s="40" t="str">
        <f>"655,0"</f>
        <v>655,0</v>
      </c>
      <c r="T91" s="17" t="str">
        <f>"372,4330"</f>
        <v>372,4330</v>
      </c>
      <c r="U91" s="14" t="s">
        <v>158</v>
      </c>
    </row>
    <row r="92" spans="1:21">
      <c r="A92" s="20" t="s">
        <v>62</v>
      </c>
      <c r="B92" s="18" t="s">
        <v>1560</v>
      </c>
      <c r="C92" s="18" t="s">
        <v>1561</v>
      </c>
      <c r="D92" s="18" t="s">
        <v>1562</v>
      </c>
      <c r="E92" s="18" t="str">
        <f>"0,5612"</f>
        <v>0,5612</v>
      </c>
      <c r="F92" s="18" t="s">
        <v>299</v>
      </c>
      <c r="G92" s="22" t="s">
        <v>384</v>
      </c>
      <c r="H92" s="22" t="s">
        <v>384</v>
      </c>
      <c r="I92" s="19" t="s">
        <v>384</v>
      </c>
      <c r="J92" s="20"/>
      <c r="K92" s="19" t="s">
        <v>60</v>
      </c>
      <c r="L92" s="19" t="s">
        <v>205</v>
      </c>
      <c r="M92" s="19" t="s">
        <v>427</v>
      </c>
      <c r="N92" s="20"/>
      <c r="O92" s="19" t="s">
        <v>384</v>
      </c>
      <c r="P92" s="19" t="s">
        <v>420</v>
      </c>
      <c r="Q92" s="22" t="s">
        <v>459</v>
      </c>
      <c r="R92" s="20"/>
      <c r="S92" s="38" t="str">
        <f>"592,5"</f>
        <v>592,5</v>
      </c>
      <c r="T92" s="20" t="str">
        <f>"332,5110"</f>
        <v>332,5110</v>
      </c>
      <c r="U92" s="18" t="s">
        <v>158</v>
      </c>
    </row>
    <row r="93" spans="1:21">
      <c r="B93" s="5" t="s">
        <v>40</v>
      </c>
    </row>
    <row r="96" spans="1:21" ht="18">
      <c r="B96" s="23" t="s">
        <v>830</v>
      </c>
      <c r="C96" s="23"/>
    </row>
    <row r="97" spans="2:6" ht="15.95">
      <c r="B97" s="95" t="s">
        <v>831</v>
      </c>
      <c r="C97" s="95"/>
    </row>
    <row r="98" spans="2:6" ht="14.1">
      <c r="B98" s="24"/>
      <c r="C98" s="24" t="s">
        <v>832</v>
      </c>
    </row>
    <row r="99" spans="2:6" ht="14.1">
      <c r="B99" s="4" t="s">
        <v>833</v>
      </c>
      <c r="C99" s="4" t="s">
        <v>834</v>
      </c>
      <c r="D99" s="4" t="s">
        <v>835</v>
      </c>
      <c r="E99" s="4" t="s">
        <v>836</v>
      </c>
      <c r="F99" s="4" t="s">
        <v>837</v>
      </c>
    </row>
    <row r="100" spans="2:6">
      <c r="B100" s="5" t="s">
        <v>1366</v>
      </c>
      <c r="C100" s="5" t="s">
        <v>832</v>
      </c>
      <c r="D100" s="6" t="s">
        <v>1563</v>
      </c>
      <c r="E100" s="6" t="s">
        <v>1564</v>
      </c>
      <c r="F100" s="6" t="s">
        <v>1565</v>
      </c>
    </row>
    <row r="101" spans="2:6">
      <c r="B101" s="5" t="s">
        <v>1369</v>
      </c>
      <c r="C101" s="5" t="s">
        <v>832</v>
      </c>
      <c r="D101" s="6" t="s">
        <v>1563</v>
      </c>
      <c r="E101" s="6" t="s">
        <v>851</v>
      </c>
      <c r="F101" s="6" t="s">
        <v>1566</v>
      </c>
    </row>
    <row r="102" spans="2:6">
      <c r="B102" s="5" t="s">
        <v>1372</v>
      </c>
      <c r="C102" s="5" t="s">
        <v>832</v>
      </c>
      <c r="D102" s="6" t="s">
        <v>1563</v>
      </c>
      <c r="E102" s="6" t="s">
        <v>1030</v>
      </c>
      <c r="F102" s="6" t="s">
        <v>1567</v>
      </c>
    </row>
    <row r="104" spans="2:6" ht="15.95">
      <c r="B104" s="95" t="s">
        <v>855</v>
      </c>
      <c r="C104" s="95"/>
    </row>
    <row r="105" spans="2:6" ht="14.1">
      <c r="B105" s="24"/>
      <c r="C105" s="24" t="s">
        <v>832</v>
      </c>
    </row>
    <row r="106" spans="2:6" ht="14.1">
      <c r="B106" s="4" t="s">
        <v>833</v>
      </c>
      <c r="C106" s="4" t="s">
        <v>834</v>
      </c>
      <c r="D106" s="4" t="s">
        <v>835</v>
      </c>
      <c r="E106" s="4" t="s">
        <v>836</v>
      </c>
      <c r="F106" s="4" t="s">
        <v>837</v>
      </c>
    </row>
    <row r="107" spans="2:6">
      <c r="B107" s="5" t="s">
        <v>1419</v>
      </c>
      <c r="C107" s="5" t="s">
        <v>832</v>
      </c>
      <c r="D107" s="6" t="s">
        <v>861</v>
      </c>
      <c r="E107" s="6" t="s">
        <v>1568</v>
      </c>
      <c r="F107" s="6" t="s">
        <v>1569</v>
      </c>
    </row>
    <row r="108" spans="2:6">
      <c r="B108" s="5" t="s">
        <v>1519</v>
      </c>
      <c r="C108" s="5" t="s">
        <v>832</v>
      </c>
      <c r="D108" s="6" t="s">
        <v>888</v>
      </c>
      <c r="E108" s="6" t="s">
        <v>1570</v>
      </c>
      <c r="F108" s="6" t="s">
        <v>1571</v>
      </c>
    </row>
    <row r="109" spans="2:6">
      <c r="B109" s="5" t="s">
        <v>1551</v>
      </c>
      <c r="C109" s="5" t="s">
        <v>832</v>
      </c>
      <c r="D109" s="6" t="s">
        <v>1356</v>
      </c>
      <c r="E109" s="6" t="s">
        <v>1572</v>
      </c>
      <c r="F109" s="6" t="s">
        <v>1573</v>
      </c>
    </row>
    <row r="110" spans="2:6">
      <c r="B110" s="5" t="s">
        <v>40</v>
      </c>
    </row>
  </sheetData>
  <mergeCells count="26">
    <mergeCell ref="A70:T70"/>
    <mergeCell ref="A79:T79"/>
    <mergeCell ref="A85:T85"/>
    <mergeCell ref="A89:T89"/>
    <mergeCell ref="B3:B4"/>
    <mergeCell ref="A22:T22"/>
    <mergeCell ref="A27:T27"/>
    <mergeCell ref="A30:T30"/>
    <mergeCell ref="A33:T33"/>
    <mergeCell ref="A42:T42"/>
    <mergeCell ref="A55:T55"/>
    <mergeCell ref="S3:S4"/>
    <mergeCell ref="T3:T4"/>
    <mergeCell ref="U3:U4"/>
    <mergeCell ref="A5:T5"/>
    <mergeCell ref="A13:T13"/>
    <mergeCell ref="A18:T18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23"/>
  <sheetViews>
    <sheetView workbookViewId="0">
      <selection sqref="A1:M2"/>
    </sheetView>
  </sheetViews>
  <sheetFormatPr defaultColWidth="9.140625" defaultRowHeight="12.95"/>
  <cols>
    <col min="1" max="1" width="7.42578125" style="6" bestFit="1" customWidth="1"/>
    <col min="2" max="2" width="19.42578125" style="5" bestFit="1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15.42578125" style="5" bestFit="1" customWidth="1"/>
    <col min="7" max="9" width="5.42578125" style="6" bestFit="1" customWidth="1"/>
    <col min="10" max="10" width="4.85546875" style="6" bestFit="1" customWidth="1"/>
    <col min="11" max="11" width="11.28515625" style="39" bestFit="1" customWidth="1"/>
    <col min="12" max="12" width="8.42578125" style="6" bestFit="1" customWidth="1"/>
    <col min="13" max="13" width="22.140625" style="5" customWidth="1"/>
    <col min="14" max="16384" width="9.140625" style="3"/>
  </cols>
  <sheetData>
    <row r="1" spans="1:13" s="2" customFormat="1" ht="29.1" customHeight="1">
      <c r="A1" s="103" t="s">
        <v>4653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5</v>
      </c>
      <c r="F3" s="114" t="s">
        <v>6</v>
      </c>
      <c r="G3" s="114" t="s">
        <v>9</v>
      </c>
      <c r="H3" s="114"/>
      <c r="I3" s="114"/>
      <c r="J3" s="114"/>
      <c r="K3" s="117" t="s">
        <v>2294</v>
      </c>
      <c r="L3" s="114" t="s">
        <v>11</v>
      </c>
      <c r="M3" s="99" t="s">
        <v>12</v>
      </c>
    </row>
    <row r="4" spans="1:13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118"/>
      <c r="L4" s="113"/>
      <c r="M4" s="100"/>
    </row>
    <row r="5" spans="1:13" ht="15.95">
      <c r="A5" s="101" t="s">
        <v>598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3">
      <c r="A6" s="13" t="s">
        <v>15</v>
      </c>
      <c r="B6" s="11" t="s">
        <v>4654</v>
      </c>
      <c r="C6" s="11" t="s">
        <v>4655</v>
      </c>
      <c r="D6" s="11" t="s">
        <v>1480</v>
      </c>
      <c r="E6" s="11" t="str">
        <f>"0,6413"</f>
        <v>0,6413</v>
      </c>
      <c r="F6" s="11" t="s">
        <v>1968</v>
      </c>
      <c r="G6" s="12" t="s">
        <v>738</v>
      </c>
      <c r="H6" s="12" t="s">
        <v>1194</v>
      </c>
      <c r="I6" s="21" t="s">
        <v>1043</v>
      </c>
      <c r="J6" s="13"/>
      <c r="K6" s="37" t="str">
        <f>"302,5"</f>
        <v>302,5</v>
      </c>
      <c r="L6" s="13" t="str">
        <f>"193,9933"</f>
        <v>193,9933</v>
      </c>
      <c r="M6" s="11" t="s">
        <v>158</v>
      </c>
    </row>
    <row r="7" spans="1:13">
      <c r="A7" s="20" t="s">
        <v>15</v>
      </c>
      <c r="B7" s="18" t="s">
        <v>2039</v>
      </c>
      <c r="C7" s="18" t="s">
        <v>2040</v>
      </c>
      <c r="D7" s="18" t="s">
        <v>2041</v>
      </c>
      <c r="E7" s="18" t="str">
        <f>"0,6398"</f>
        <v>0,6398</v>
      </c>
      <c r="F7" s="18" t="s">
        <v>547</v>
      </c>
      <c r="G7" s="19" t="s">
        <v>436</v>
      </c>
      <c r="H7" s="19" t="s">
        <v>421</v>
      </c>
      <c r="I7" s="20"/>
      <c r="J7" s="20"/>
      <c r="K7" s="38" t="str">
        <f>"230,0"</f>
        <v>230,0</v>
      </c>
      <c r="L7" s="20" t="str">
        <f>"256,0480"</f>
        <v>256,0480</v>
      </c>
      <c r="M7" s="18" t="s">
        <v>2042</v>
      </c>
    </row>
    <row r="8" spans="1:13">
      <c r="B8" s="5" t="s">
        <v>40</v>
      </c>
    </row>
    <row r="9" spans="1:13" ht="15.95">
      <c r="A9" s="102" t="s">
        <v>670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3">
      <c r="A10" s="13" t="s">
        <v>15</v>
      </c>
      <c r="B10" s="11" t="s">
        <v>4384</v>
      </c>
      <c r="C10" s="11" t="s">
        <v>4656</v>
      </c>
      <c r="D10" s="11" t="s">
        <v>1827</v>
      </c>
      <c r="E10" s="11" t="str">
        <f>"0,6116"</f>
        <v>0,6116</v>
      </c>
      <c r="F10" s="11" t="s">
        <v>435</v>
      </c>
      <c r="G10" s="21" t="s">
        <v>804</v>
      </c>
      <c r="H10" s="12" t="s">
        <v>804</v>
      </c>
      <c r="I10" s="12" t="s">
        <v>1078</v>
      </c>
      <c r="J10" s="13"/>
      <c r="K10" s="37" t="str">
        <f>"315,0"</f>
        <v>315,0</v>
      </c>
      <c r="L10" s="13" t="str">
        <f>"192,6540"</f>
        <v>192,6540</v>
      </c>
      <c r="M10" s="11" t="s">
        <v>158</v>
      </c>
    </row>
    <row r="11" spans="1:13">
      <c r="A11" s="17" t="s">
        <v>15</v>
      </c>
      <c r="B11" s="14" t="s">
        <v>4657</v>
      </c>
      <c r="C11" s="14" t="s">
        <v>4658</v>
      </c>
      <c r="D11" s="14" t="s">
        <v>4659</v>
      </c>
      <c r="E11" s="14" t="str">
        <f>"0,6328"</f>
        <v>0,6328</v>
      </c>
      <c r="F11" s="14" t="s">
        <v>227</v>
      </c>
      <c r="G11" s="15" t="s">
        <v>738</v>
      </c>
      <c r="H11" s="16" t="s">
        <v>822</v>
      </c>
      <c r="I11" s="16" t="s">
        <v>822</v>
      </c>
      <c r="J11" s="17"/>
      <c r="K11" s="40" t="str">
        <f>"280,0"</f>
        <v>280,0</v>
      </c>
      <c r="L11" s="17" t="str">
        <f>"191,0043"</f>
        <v>191,0043</v>
      </c>
      <c r="M11" s="14" t="s">
        <v>4660</v>
      </c>
    </row>
    <row r="12" spans="1:13">
      <c r="A12" s="20" t="s">
        <v>62</v>
      </c>
      <c r="B12" s="18" t="s">
        <v>3593</v>
      </c>
      <c r="C12" s="18" t="s">
        <v>3594</v>
      </c>
      <c r="D12" s="18" t="s">
        <v>1765</v>
      </c>
      <c r="E12" s="18" t="str">
        <f>"0,6096"</f>
        <v>0,6096</v>
      </c>
      <c r="F12" s="18" t="s">
        <v>176</v>
      </c>
      <c r="G12" s="19" t="s">
        <v>640</v>
      </c>
      <c r="H12" s="22" t="s">
        <v>822</v>
      </c>
      <c r="I12" s="22" t="s">
        <v>804</v>
      </c>
      <c r="J12" s="20"/>
      <c r="K12" s="38" t="str">
        <f>"270,0"</f>
        <v>270,0</v>
      </c>
      <c r="L12" s="20" t="str">
        <f>"165,4150"</f>
        <v>165,4150</v>
      </c>
      <c r="M12" s="18" t="s">
        <v>158</v>
      </c>
    </row>
    <row r="13" spans="1:13">
      <c r="B13" s="5" t="s">
        <v>40</v>
      </c>
    </row>
    <row r="14" spans="1:13" ht="15.95">
      <c r="A14" s="102" t="s">
        <v>724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3">
      <c r="A15" s="13" t="s">
        <v>15</v>
      </c>
      <c r="B15" s="11" t="s">
        <v>2046</v>
      </c>
      <c r="C15" s="11" t="s">
        <v>2047</v>
      </c>
      <c r="D15" s="11" t="s">
        <v>2048</v>
      </c>
      <c r="E15" s="11" t="str">
        <f>"0,5924"</f>
        <v>0,5924</v>
      </c>
      <c r="F15" s="11" t="s">
        <v>2049</v>
      </c>
      <c r="G15" s="12" t="s">
        <v>805</v>
      </c>
      <c r="H15" s="12" t="s">
        <v>842</v>
      </c>
      <c r="I15" s="21" t="s">
        <v>2050</v>
      </c>
      <c r="J15" s="13"/>
      <c r="K15" s="37" t="str">
        <f>"340,0"</f>
        <v>340,0</v>
      </c>
      <c r="L15" s="13" t="str">
        <f>"201,4160"</f>
        <v>201,4160</v>
      </c>
      <c r="M15" s="11" t="s">
        <v>2051</v>
      </c>
    </row>
    <row r="16" spans="1:13">
      <c r="A16" s="20" t="s">
        <v>62</v>
      </c>
      <c r="B16" s="18" t="s">
        <v>2052</v>
      </c>
      <c r="C16" s="18" t="s">
        <v>2053</v>
      </c>
      <c r="D16" s="18" t="s">
        <v>2054</v>
      </c>
      <c r="E16" s="18" t="str">
        <f>"0,6076"</f>
        <v>0,6076</v>
      </c>
      <c r="F16" s="18" t="s">
        <v>2055</v>
      </c>
      <c r="G16" s="19" t="s">
        <v>383</v>
      </c>
      <c r="H16" s="22" t="s">
        <v>399</v>
      </c>
      <c r="I16" s="19" t="s">
        <v>399</v>
      </c>
      <c r="J16" s="20"/>
      <c r="K16" s="38" t="str">
        <f>"205,0"</f>
        <v>205,0</v>
      </c>
      <c r="L16" s="20" t="str">
        <f>"124,5580"</f>
        <v>124,5580</v>
      </c>
      <c r="M16" s="18" t="s">
        <v>3558</v>
      </c>
    </row>
    <row r="17" spans="1:13">
      <c r="B17" s="5" t="s">
        <v>40</v>
      </c>
    </row>
    <row r="18" spans="1:13" ht="15.95">
      <c r="A18" s="102" t="s">
        <v>783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</row>
    <row r="19" spans="1:13">
      <c r="A19" s="13" t="s">
        <v>15</v>
      </c>
      <c r="B19" s="11" t="s">
        <v>4661</v>
      </c>
      <c r="C19" s="11" t="s">
        <v>4662</v>
      </c>
      <c r="D19" s="11" t="s">
        <v>4663</v>
      </c>
      <c r="E19" s="11" t="str">
        <f>"0,5753"</f>
        <v>0,5753</v>
      </c>
      <c r="F19" s="11" t="s">
        <v>3421</v>
      </c>
      <c r="G19" s="12" t="s">
        <v>1229</v>
      </c>
      <c r="H19" s="21" t="s">
        <v>1339</v>
      </c>
      <c r="I19" s="21" t="s">
        <v>1339</v>
      </c>
      <c r="J19" s="13"/>
      <c r="K19" s="37" t="str">
        <f>"350,0"</f>
        <v>350,0</v>
      </c>
      <c r="L19" s="13" t="str">
        <f>"201,3550"</f>
        <v>201,3550</v>
      </c>
      <c r="M19" s="11" t="s">
        <v>3422</v>
      </c>
    </row>
    <row r="20" spans="1:13">
      <c r="A20" s="17" t="s">
        <v>15</v>
      </c>
      <c r="B20" s="14" t="s">
        <v>4664</v>
      </c>
      <c r="C20" s="14" t="s">
        <v>4665</v>
      </c>
      <c r="D20" s="14" t="s">
        <v>4666</v>
      </c>
      <c r="E20" s="14" t="str">
        <f>"0,5777"</f>
        <v>0,5777</v>
      </c>
      <c r="F20" s="14" t="s">
        <v>3126</v>
      </c>
      <c r="G20" s="15" t="s">
        <v>822</v>
      </c>
      <c r="H20" s="15" t="s">
        <v>1043</v>
      </c>
      <c r="I20" s="17"/>
      <c r="J20" s="17"/>
      <c r="K20" s="40" t="str">
        <f>"310,0"</f>
        <v>310,0</v>
      </c>
      <c r="L20" s="17" t="str">
        <f>"179,0870"</f>
        <v>179,0870</v>
      </c>
      <c r="M20" s="14" t="s">
        <v>981</v>
      </c>
    </row>
    <row r="21" spans="1:13">
      <c r="A21" s="20" t="s">
        <v>92</v>
      </c>
      <c r="B21" s="18" t="s">
        <v>1955</v>
      </c>
      <c r="C21" s="18" t="s">
        <v>1956</v>
      </c>
      <c r="D21" s="18" t="s">
        <v>1957</v>
      </c>
      <c r="E21" s="18" t="str">
        <f>"0,5849"</f>
        <v>0,5849</v>
      </c>
      <c r="F21" s="18" t="s">
        <v>1958</v>
      </c>
      <c r="G21" s="22" t="s">
        <v>804</v>
      </c>
      <c r="H21" s="20"/>
      <c r="I21" s="20"/>
      <c r="J21" s="20"/>
      <c r="K21" s="38">
        <v>0</v>
      </c>
      <c r="L21" s="20" t="str">
        <f>"0,0000"</f>
        <v>0,0000</v>
      </c>
      <c r="M21" s="18" t="s">
        <v>1959</v>
      </c>
    </row>
    <row r="22" spans="1:13">
      <c r="B22" s="5" t="s">
        <v>40</v>
      </c>
    </row>
    <row r="23" spans="1:13">
      <c r="B23" s="5" t="s">
        <v>40</v>
      </c>
    </row>
  </sheetData>
  <mergeCells count="15">
    <mergeCell ref="A18:L18"/>
    <mergeCell ref="B3:B4"/>
    <mergeCell ref="K3:K4"/>
    <mergeCell ref="L3:L4"/>
    <mergeCell ref="M3:M4"/>
    <mergeCell ref="A5:L5"/>
    <mergeCell ref="A9:L9"/>
    <mergeCell ref="A14:L14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187"/>
  <sheetViews>
    <sheetView topLeftCell="A120" workbookViewId="0">
      <selection sqref="A1:M2"/>
    </sheetView>
  </sheetViews>
  <sheetFormatPr defaultColWidth="9.140625" defaultRowHeight="12.95"/>
  <cols>
    <col min="1" max="1" width="7.42578125" style="6" bestFit="1" customWidth="1"/>
    <col min="2" max="2" width="23.7109375" style="5" bestFit="1" customWidth="1"/>
    <col min="3" max="3" width="29" style="5" bestFit="1" customWidth="1"/>
    <col min="4" max="4" width="21.42578125" style="5" bestFit="1" customWidth="1"/>
    <col min="5" max="5" width="10.42578125" style="5" bestFit="1" customWidth="1"/>
    <col min="6" max="6" width="22.28515625" style="5" bestFit="1" customWidth="1"/>
    <col min="7" max="10" width="5.42578125" style="6" bestFit="1" customWidth="1"/>
    <col min="11" max="11" width="11.28515625" style="39" bestFit="1" customWidth="1"/>
    <col min="12" max="12" width="7.42578125" style="6" bestFit="1" customWidth="1"/>
    <col min="13" max="13" width="23.42578125" style="5" customWidth="1"/>
    <col min="14" max="16384" width="9.140625" style="3"/>
  </cols>
  <sheetData>
    <row r="1" spans="1:13" s="2" customFormat="1" ht="29.1" customHeight="1">
      <c r="A1" s="103" t="s">
        <v>4667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3599</v>
      </c>
      <c r="F3" s="114" t="s">
        <v>6</v>
      </c>
      <c r="G3" s="114" t="s">
        <v>4668</v>
      </c>
      <c r="H3" s="114"/>
      <c r="I3" s="114"/>
      <c r="J3" s="114"/>
      <c r="K3" s="117" t="s">
        <v>2294</v>
      </c>
      <c r="L3" s="114" t="s">
        <v>11</v>
      </c>
      <c r="M3" s="99" t="s">
        <v>12</v>
      </c>
    </row>
    <row r="4" spans="1:13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118"/>
      <c r="L4" s="113"/>
      <c r="M4" s="100"/>
    </row>
    <row r="5" spans="1:13" ht="15.95">
      <c r="A5" s="101" t="s">
        <v>14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3">
      <c r="A6" s="10" t="s">
        <v>15</v>
      </c>
      <c r="B6" s="7" t="s">
        <v>3032</v>
      </c>
      <c r="C6" s="7" t="s">
        <v>3033</v>
      </c>
      <c r="D6" s="7" t="s">
        <v>3034</v>
      </c>
      <c r="E6" s="7" t="str">
        <f>"1,2642"</f>
        <v>1,2642</v>
      </c>
      <c r="F6" s="7" t="s">
        <v>2513</v>
      </c>
      <c r="G6" s="8" t="s">
        <v>3063</v>
      </c>
      <c r="H6" s="9" t="s">
        <v>4669</v>
      </c>
      <c r="I6" s="8" t="s">
        <v>4669</v>
      </c>
      <c r="J6" s="10"/>
      <c r="K6" s="41" t="str">
        <f>"32,5"</f>
        <v>32,5</v>
      </c>
      <c r="L6" s="10" t="str">
        <f>"41,0865"</f>
        <v>41,0865</v>
      </c>
      <c r="M6" s="7" t="s">
        <v>3035</v>
      </c>
    </row>
    <row r="7" spans="1:13">
      <c r="B7" s="5" t="s">
        <v>40</v>
      </c>
    </row>
    <row r="8" spans="1:13" ht="15.95">
      <c r="A8" s="102" t="s">
        <v>41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3">
      <c r="A9" s="10" t="s">
        <v>15</v>
      </c>
      <c r="B9" s="7" t="s">
        <v>51</v>
      </c>
      <c r="C9" s="7" t="s">
        <v>52</v>
      </c>
      <c r="D9" s="7" t="s">
        <v>956</v>
      </c>
      <c r="E9" s="7" t="str">
        <f>"1,1846"</f>
        <v>1,1846</v>
      </c>
      <c r="F9" s="7" t="s">
        <v>54</v>
      </c>
      <c r="G9" s="8" t="s">
        <v>20</v>
      </c>
      <c r="H9" s="8" t="s">
        <v>135</v>
      </c>
      <c r="I9" s="9" t="s">
        <v>21</v>
      </c>
      <c r="J9" s="10"/>
      <c r="K9" s="41" t="str">
        <f>"37,5"</f>
        <v>37,5</v>
      </c>
      <c r="L9" s="10" t="str">
        <f>"44,4225"</f>
        <v>44,4225</v>
      </c>
      <c r="M9" s="7" t="s">
        <v>61</v>
      </c>
    </row>
    <row r="10" spans="1:13">
      <c r="B10" s="5" t="s">
        <v>40</v>
      </c>
    </row>
    <row r="11" spans="1:13" ht="15.95">
      <c r="A11" s="102" t="s">
        <v>98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3">
      <c r="A12" s="10" t="s">
        <v>15</v>
      </c>
      <c r="B12" s="7" t="s">
        <v>4670</v>
      </c>
      <c r="C12" s="7" t="s">
        <v>4671</v>
      </c>
      <c r="D12" s="7" t="s">
        <v>4227</v>
      </c>
      <c r="E12" s="7" t="str">
        <f>"1,1299"</f>
        <v>1,1299</v>
      </c>
      <c r="F12" s="7" t="s">
        <v>54</v>
      </c>
      <c r="G12" s="8" t="s">
        <v>4071</v>
      </c>
      <c r="H12" s="8" t="s">
        <v>3063</v>
      </c>
      <c r="I12" s="9" t="s">
        <v>4669</v>
      </c>
      <c r="J12" s="10"/>
      <c r="K12" s="41" t="str">
        <f>"30,0"</f>
        <v>30,0</v>
      </c>
      <c r="L12" s="10" t="str">
        <f>"33,8970"</f>
        <v>33,8970</v>
      </c>
      <c r="M12" s="7" t="s">
        <v>61</v>
      </c>
    </row>
    <row r="13" spans="1:13">
      <c r="B13" s="5" t="s">
        <v>40</v>
      </c>
    </row>
    <row r="14" spans="1:13" ht="15.95">
      <c r="A14" s="102" t="s">
        <v>141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3">
      <c r="A15" s="10" t="s">
        <v>15</v>
      </c>
      <c r="B15" s="7" t="s">
        <v>4672</v>
      </c>
      <c r="C15" s="7" t="s">
        <v>4673</v>
      </c>
      <c r="D15" s="7" t="s">
        <v>175</v>
      </c>
      <c r="E15" s="7" t="str">
        <f>"1,0545"</f>
        <v>1,0545</v>
      </c>
      <c r="F15" s="7" t="s">
        <v>91</v>
      </c>
      <c r="G15" s="8" t="s">
        <v>22</v>
      </c>
      <c r="H15" s="9" t="s">
        <v>82</v>
      </c>
      <c r="I15" s="9" t="s">
        <v>82</v>
      </c>
      <c r="J15" s="10"/>
      <c r="K15" s="41" t="str">
        <f>"42,5"</f>
        <v>42,5</v>
      </c>
      <c r="L15" s="10" t="str">
        <f>"44,8162"</f>
        <v>44,8162</v>
      </c>
      <c r="M15" s="7" t="s">
        <v>158</v>
      </c>
    </row>
    <row r="16" spans="1:13">
      <c r="B16" s="5" t="s">
        <v>40</v>
      </c>
    </row>
    <row r="17" spans="1:13" ht="15.95">
      <c r="A17" s="102" t="s">
        <v>195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</row>
    <row r="18" spans="1:13">
      <c r="A18" s="13" t="s">
        <v>15</v>
      </c>
      <c r="B18" s="11" t="s">
        <v>4674</v>
      </c>
      <c r="C18" s="11" t="s">
        <v>4675</v>
      </c>
      <c r="D18" s="11" t="s">
        <v>4093</v>
      </c>
      <c r="E18" s="11" t="str">
        <f>"1,0051"</f>
        <v>1,0051</v>
      </c>
      <c r="F18" s="11" t="s">
        <v>54</v>
      </c>
      <c r="G18" s="12" t="s">
        <v>3063</v>
      </c>
      <c r="H18" s="12" t="s">
        <v>4669</v>
      </c>
      <c r="I18" s="21" t="s">
        <v>20</v>
      </c>
      <c r="J18" s="13"/>
      <c r="K18" s="37" t="str">
        <f>"32,5"</f>
        <v>32,5</v>
      </c>
      <c r="L18" s="13" t="str">
        <f>"32,6658"</f>
        <v>32,6658</v>
      </c>
      <c r="M18" s="11" t="s">
        <v>61</v>
      </c>
    </row>
    <row r="19" spans="1:13">
      <c r="A19" s="20" t="s">
        <v>15</v>
      </c>
      <c r="B19" s="18" t="s">
        <v>4676</v>
      </c>
      <c r="C19" s="18" t="s">
        <v>4677</v>
      </c>
      <c r="D19" s="18" t="s">
        <v>216</v>
      </c>
      <c r="E19" s="18" t="str">
        <f>"1,0024"</f>
        <v>1,0024</v>
      </c>
      <c r="F19" s="18" t="s">
        <v>91</v>
      </c>
      <c r="G19" s="19" t="s">
        <v>3063</v>
      </c>
      <c r="H19" s="19" t="s">
        <v>4669</v>
      </c>
      <c r="I19" s="22" t="s">
        <v>20</v>
      </c>
      <c r="J19" s="20"/>
      <c r="K19" s="38" t="str">
        <f>"32,5"</f>
        <v>32,5</v>
      </c>
      <c r="L19" s="20" t="str">
        <f>"33,2296"</f>
        <v>33,2296</v>
      </c>
      <c r="M19" s="18" t="s">
        <v>4678</v>
      </c>
    </row>
    <row r="20" spans="1:13">
      <c r="B20" s="5" t="s">
        <v>40</v>
      </c>
    </row>
    <row r="21" spans="1:13" ht="15.95">
      <c r="A21" s="102" t="s">
        <v>241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</row>
    <row r="22" spans="1:13">
      <c r="A22" s="10" t="s">
        <v>15</v>
      </c>
      <c r="B22" s="7" t="s">
        <v>259</v>
      </c>
      <c r="C22" s="7" t="s">
        <v>260</v>
      </c>
      <c r="D22" s="7" t="s">
        <v>979</v>
      </c>
      <c r="E22" s="7" t="str">
        <f>"0,9049"</f>
        <v>0,9049</v>
      </c>
      <c r="F22" s="7" t="s">
        <v>262</v>
      </c>
      <c r="G22" s="8" t="s">
        <v>4669</v>
      </c>
      <c r="H22" s="8" t="s">
        <v>135</v>
      </c>
      <c r="I22" s="8" t="s">
        <v>21</v>
      </c>
      <c r="J22" s="10"/>
      <c r="K22" s="41" t="str">
        <f>"40,0"</f>
        <v>40,0</v>
      </c>
      <c r="L22" s="10" t="str">
        <f>"36,1960"</f>
        <v>36,1960</v>
      </c>
      <c r="M22" s="7" t="s">
        <v>263</v>
      </c>
    </row>
    <row r="23" spans="1:13">
      <c r="B23" s="5" t="s">
        <v>40</v>
      </c>
    </row>
    <row r="24" spans="1:13" ht="15.95">
      <c r="A24" s="102" t="s">
        <v>4483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1:13">
      <c r="A25" s="10" t="s">
        <v>15</v>
      </c>
      <c r="B25" s="7" t="s">
        <v>4679</v>
      </c>
      <c r="C25" s="7" t="s">
        <v>4680</v>
      </c>
      <c r="D25" s="7" t="s">
        <v>736</v>
      </c>
      <c r="E25" s="7" t="str">
        <f>"0,7116"</f>
        <v>0,7116</v>
      </c>
      <c r="F25" s="7" t="s">
        <v>299</v>
      </c>
      <c r="G25" s="8" t="s">
        <v>4669</v>
      </c>
      <c r="H25" s="9" t="s">
        <v>135</v>
      </c>
      <c r="I25" s="8" t="s">
        <v>135</v>
      </c>
      <c r="J25" s="10"/>
      <c r="K25" s="41" t="str">
        <f>"37,5"</f>
        <v>37,5</v>
      </c>
      <c r="L25" s="10" t="str">
        <f>"26,6850"</f>
        <v>26,6850</v>
      </c>
      <c r="M25" s="7" t="s">
        <v>4681</v>
      </c>
    </row>
    <row r="26" spans="1:13">
      <c r="B26" s="5" t="s">
        <v>40</v>
      </c>
    </row>
    <row r="27" spans="1:13" ht="15.95">
      <c r="A27" s="102" t="s">
        <v>141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8" spans="1:13">
      <c r="A28" s="13" t="s">
        <v>15</v>
      </c>
      <c r="B28" s="11" t="s">
        <v>4682</v>
      </c>
      <c r="C28" s="11" t="s">
        <v>4683</v>
      </c>
      <c r="D28" s="11" t="s">
        <v>3600</v>
      </c>
      <c r="E28" s="11" t="str">
        <f>"0,9166"</f>
        <v>0,9166</v>
      </c>
      <c r="F28" s="11" t="s">
        <v>166</v>
      </c>
      <c r="G28" s="12" t="s">
        <v>135</v>
      </c>
      <c r="H28" s="21" t="s">
        <v>22</v>
      </c>
      <c r="I28" s="21" t="s">
        <v>22</v>
      </c>
      <c r="J28" s="13"/>
      <c r="K28" s="37" t="str">
        <f>"37,5"</f>
        <v>37,5</v>
      </c>
      <c r="L28" s="13" t="str">
        <f>"34,3725"</f>
        <v>34,3725</v>
      </c>
      <c r="M28" s="11" t="s">
        <v>957</v>
      </c>
    </row>
    <row r="29" spans="1:13">
      <c r="A29" s="17" t="s">
        <v>62</v>
      </c>
      <c r="B29" s="14" t="s">
        <v>4684</v>
      </c>
      <c r="C29" s="14" t="s">
        <v>4685</v>
      </c>
      <c r="D29" s="14" t="s">
        <v>4070</v>
      </c>
      <c r="E29" s="14" t="str">
        <f>"0,9113"</f>
        <v>0,9113</v>
      </c>
      <c r="F29" s="14" t="s">
        <v>299</v>
      </c>
      <c r="G29" s="15" t="s">
        <v>4669</v>
      </c>
      <c r="H29" s="16" t="s">
        <v>20</v>
      </c>
      <c r="I29" s="16" t="s">
        <v>20</v>
      </c>
      <c r="J29" s="17"/>
      <c r="K29" s="40" t="str">
        <f>"32,5"</f>
        <v>32,5</v>
      </c>
      <c r="L29" s="17" t="str">
        <f>"29,6173"</f>
        <v>29,6173</v>
      </c>
      <c r="M29" s="14" t="s">
        <v>4681</v>
      </c>
    </row>
    <row r="30" spans="1:13">
      <c r="A30" s="20" t="s">
        <v>15</v>
      </c>
      <c r="B30" s="18" t="s">
        <v>4686</v>
      </c>
      <c r="C30" s="18" t="s">
        <v>4687</v>
      </c>
      <c r="D30" s="18" t="s">
        <v>3600</v>
      </c>
      <c r="E30" s="18" t="str">
        <f>"0,9166"</f>
        <v>0,9166</v>
      </c>
      <c r="F30" s="18" t="s">
        <v>1204</v>
      </c>
      <c r="G30" s="19" t="s">
        <v>82</v>
      </c>
      <c r="H30" s="19" t="s">
        <v>83</v>
      </c>
      <c r="I30" s="19" t="s">
        <v>103</v>
      </c>
      <c r="J30" s="20"/>
      <c r="K30" s="38" t="str">
        <f>"50,0"</f>
        <v>50,0</v>
      </c>
      <c r="L30" s="20" t="str">
        <f>"45,8300"</f>
        <v>45,8300</v>
      </c>
      <c r="M30" s="18" t="s">
        <v>158</v>
      </c>
    </row>
    <row r="31" spans="1:13">
      <c r="B31" s="5" t="s">
        <v>40</v>
      </c>
    </row>
    <row r="32" spans="1:13" ht="15.95">
      <c r="A32" s="102" t="s">
        <v>195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</row>
    <row r="33" spans="1:13">
      <c r="A33" s="13" t="s">
        <v>15</v>
      </c>
      <c r="B33" s="11" t="s">
        <v>4688</v>
      </c>
      <c r="C33" s="11" t="s">
        <v>4689</v>
      </c>
      <c r="D33" s="11" t="s">
        <v>198</v>
      </c>
      <c r="E33" s="11" t="str">
        <f>"0,8411"</f>
        <v>0,8411</v>
      </c>
      <c r="F33" s="11" t="s">
        <v>906</v>
      </c>
      <c r="G33" s="12" t="s">
        <v>25</v>
      </c>
      <c r="H33" s="12" t="s">
        <v>35</v>
      </c>
      <c r="I33" s="21" t="s">
        <v>48</v>
      </c>
      <c r="J33" s="13"/>
      <c r="K33" s="37" t="str">
        <f>"57,5"</f>
        <v>57,5</v>
      </c>
      <c r="L33" s="13" t="str">
        <f>"48,3604"</f>
        <v>48,3604</v>
      </c>
      <c r="M33" s="11" t="s">
        <v>4690</v>
      </c>
    </row>
    <row r="34" spans="1:13">
      <c r="A34" s="17" t="s">
        <v>62</v>
      </c>
      <c r="B34" s="14" t="s">
        <v>2084</v>
      </c>
      <c r="C34" s="14" t="s">
        <v>4691</v>
      </c>
      <c r="D34" s="14" t="s">
        <v>4280</v>
      </c>
      <c r="E34" s="14" t="str">
        <f>"0,8641"</f>
        <v>0,8641</v>
      </c>
      <c r="F34" s="14" t="s">
        <v>1155</v>
      </c>
      <c r="G34" s="15" t="s">
        <v>82</v>
      </c>
      <c r="H34" s="15" t="s">
        <v>103</v>
      </c>
      <c r="I34" s="16" t="s">
        <v>26</v>
      </c>
      <c r="J34" s="17"/>
      <c r="K34" s="40" t="str">
        <f>"50,0"</f>
        <v>50,0</v>
      </c>
      <c r="L34" s="17" t="str">
        <f>"43,2075"</f>
        <v>43,2075</v>
      </c>
      <c r="M34" s="14" t="s">
        <v>2087</v>
      </c>
    </row>
    <row r="35" spans="1:13">
      <c r="A35" s="17" t="s">
        <v>73</v>
      </c>
      <c r="B35" s="14" t="s">
        <v>4692</v>
      </c>
      <c r="C35" s="14" t="s">
        <v>4693</v>
      </c>
      <c r="D35" s="14" t="s">
        <v>2228</v>
      </c>
      <c r="E35" s="14" t="str">
        <f>"0,8383"</f>
        <v>0,8383</v>
      </c>
      <c r="F35" s="14" t="s">
        <v>166</v>
      </c>
      <c r="G35" s="15" t="s">
        <v>83</v>
      </c>
      <c r="H35" s="16" t="s">
        <v>34</v>
      </c>
      <c r="I35" s="16" t="s">
        <v>34</v>
      </c>
      <c r="J35" s="17"/>
      <c r="K35" s="40" t="str">
        <f>"47,5"</f>
        <v>47,5</v>
      </c>
      <c r="L35" s="17" t="str">
        <f>"39,8192"</f>
        <v>39,8192</v>
      </c>
      <c r="M35" s="14" t="s">
        <v>957</v>
      </c>
    </row>
    <row r="36" spans="1:13">
      <c r="A36" s="17" t="s">
        <v>15</v>
      </c>
      <c r="B36" s="14" t="s">
        <v>4694</v>
      </c>
      <c r="C36" s="14" t="s">
        <v>4695</v>
      </c>
      <c r="D36" s="14" t="s">
        <v>208</v>
      </c>
      <c r="E36" s="14" t="str">
        <f>"0,8453"</f>
        <v>0,8453</v>
      </c>
      <c r="F36" s="14" t="s">
        <v>4696</v>
      </c>
      <c r="G36" s="16" t="s">
        <v>26</v>
      </c>
      <c r="H36" s="15" t="s">
        <v>26</v>
      </c>
      <c r="I36" s="15" t="s">
        <v>48</v>
      </c>
      <c r="J36" s="17"/>
      <c r="K36" s="40" t="str">
        <f>"62,5"</f>
        <v>62,5</v>
      </c>
      <c r="L36" s="17" t="str">
        <f>"52,8281"</f>
        <v>52,8281</v>
      </c>
      <c r="M36" s="14" t="s">
        <v>158</v>
      </c>
    </row>
    <row r="37" spans="1:13">
      <c r="A37" s="20" t="s">
        <v>15</v>
      </c>
      <c r="B37" s="18" t="s">
        <v>2423</v>
      </c>
      <c r="C37" s="18" t="s">
        <v>2424</v>
      </c>
      <c r="D37" s="18" t="s">
        <v>219</v>
      </c>
      <c r="E37" s="18" t="str">
        <f>"0,8467"</f>
        <v>0,8467</v>
      </c>
      <c r="F37" s="18" t="s">
        <v>1279</v>
      </c>
      <c r="G37" s="19" t="s">
        <v>22</v>
      </c>
      <c r="H37" s="19" t="s">
        <v>103</v>
      </c>
      <c r="I37" s="22" t="s">
        <v>25</v>
      </c>
      <c r="J37" s="20"/>
      <c r="K37" s="38" t="str">
        <f>"50,0"</f>
        <v>50,0</v>
      </c>
      <c r="L37" s="20" t="str">
        <f>"44,6608"</f>
        <v>44,6608</v>
      </c>
      <c r="M37" s="18" t="s">
        <v>158</v>
      </c>
    </row>
    <row r="38" spans="1:13">
      <c r="B38" s="5" t="s">
        <v>40</v>
      </c>
    </row>
    <row r="39" spans="1:13" ht="15.95">
      <c r="A39" s="102" t="s">
        <v>241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</row>
    <row r="40" spans="1:13">
      <c r="A40" s="13" t="s">
        <v>15</v>
      </c>
      <c r="B40" s="11" t="s">
        <v>2435</v>
      </c>
      <c r="C40" s="11" t="s">
        <v>4697</v>
      </c>
      <c r="D40" s="11" t="s">
        <v>4261</v>
      </c>
      <c r="E40" s="11" t="str">
        <f>"0,7702"</f>
        <v>0,7702</v>
      </c>
      <c r="F40" s="11" t="s">
        <v>2438</v>
      </c>
      <c r="G40" s="21" t="s">
        <v>26</v>
      </c>
      <c r="H40" s="12" t="s">
        <v>26</v>
      </c>
      <c r="I40" s="12" t="s">
        <v>32</v>
      </c>
      <c r="J40" s="12" t="s">
        <v>33</v>
      </c>
      <c r="K40" s="37" t="str">
        <f>"65,0"</f>
        <v>65,0</v>
      </c>
      <c r="L40" s="13" t="str">
        <f>"50,0598"</f>
        <v>50,0598</v>
      </c>
      <c r="M40" s="11" t="s">
        <v>158</v>
      </c>
    </row>
    <row r="41" spans="1:13">
      <c r="A41" s="17" t="s">
        <v>62</v>
      </c>
      <c r="B41" s="14" t="s">
        <v>4698</v>
      </c>
      <c r="C41" s="14" t="s">
        <v>4699</v>
      </c>
      <c r="D41" s="14" t="s">
        <v>252</v>
      </c>
      <c r="E41" s="14" t="str">
        <f>"0,7681"</f>
        <v>0,7681</v>
      </c>
      <c r="F41" s="14" t="s">
        <v>91</v>
      </c>
      <c r="G41" s="15" t="s">
        <v>82</v>
      </c>
      <c r="H41" s="15" t="s">
        <v>83</v>
      </c>
      <c r="I41" s="15" t="s">
        <v>34</v>
      </c>
      <c r="J41" s="17"/>
      <c r="K41" s="40" t="str">
        <f>"52,5"</f>
        <v>52,5</v>
      </c>
      <c r="L41" s="17" t="str">
        <f>"40,3226"</f>
        <v>40,3226</v>
      </c>
      <c r="M41" s="14" t="s">
        <v>4681</v>
      </c>
    </row>
    <row r="42" spans="1:13">
      <c r="A42" s="17" t="s">
        <v>73</v>
      </c>
      <c r="B42" s="14" t="s">
        <v>2439</v>
      </c>
      <c r="C42" s="14" t="s">
        <v>4700</v>
      </c>
      <c r="D42" s="14" t="s">
        <v>261</v>
      </c>
      <c r="E42" s="14" t="str">
        <f>"0,7640"</f>
        <v>0,7640</v>
      </c>
      <c r="F42" s="14" t="s">
        <v>2142</v>
      </c>
      <c r="G42" s="15" t="s">
        <v>21</v>
      </c>
      <c r="H42" s="16" t="s">
        <v>34</v>
      </c>
      <c r="I42" s="16" t="s">
        <v>34</v>
      </c>
      <c r="J42" s="17"/>
      <c r="K42" s="40" t="str">
        <f>"40,0"</f>
        <v>40,0</v>
      </c>
      <c r="L42" s="17" t="str">
        <f>"30,5600"</f>
        <v>30,5600</v>
      </c>
      <c r="M42" s="14" t="s">
        <v>158</v>
      </c>
    </row>
    <row r="43" spans="1:13">
      <c r="A43" s="17" t="s">
        <v>15</v>
      </c>
      <c r="B43" s="14" t="s">
        <v>4701</v>
      </c>
      <c r="C43" s="14" t="s">
        <v>4702</v>
      </c>
      <c r="D43" s="14" t="s">
        <v>4703</v>
      </c>
      <c r="E43" s="14" t="str">
        <f>"0,7775"</f>
        <v>0,7775</v>
      </c>
      <c r="F43" s="14" t="s">
        <v>91</v>
      </c>
      <c r="G43" s="15" t="s">
        <v>26</v>
      </c>
      <c r="H43" s="15" t="s">
        <v>48</v>
      </c>
      <c r="I43" s="16" t="s">
        <v>32</v>
      </c>
      <c r="J43" s="17"/>
      <c r="K43" s="40" t="str">
        <f>"62,5"</f>
        <v>62,5</v>
      </c>
      <c r="L43" s="17" t="str">
        <f>"48,5937"</f>
        <v>48,5937</v>
      </c>
      <c r="M43" s="14" t="s">
        <v>158</v>
      </c>
    </row>
    <row r="44" spans="1:13">
      <c r="A44" s="17" t="s">
        <v>62</v>
      </c>
      <c r="B44" s="14" t="s">
        <v>4704</v>
      </c>
      <c r="C44" s="14" t="s">
        <v>4705</v>
      </c>
      <c r="D44" s="14" t="s">
        <v>4489</v>
      </c>
      <c r="E44" s="14" t="str">
        <f>"0,8025"</f>
        <v>0,8025</v>
      </c>
      <c r="F44" s="14" t="s">
        <v>364</v>
      </c>
      <c r="G44" s="15" t="s">
        <v>25</v>
      </c>
      <c r="H44" s="15" t="s">
        <v>26</v>
      </c>
      <c r="I44" s="16" t="s">
        <v>32</v>
      </c>
      <c r="J44" s="17"/>
      <c r="K44" s="40" t="str">
        <f>"60,0"</f>
        <v>60,0</v>
      </c>
      <c r="L44" s="17" t="str">
        <f>"48,1470"</f>
        <v>48,1470</v>
      </c>
      <c r="M44" s="14" t="s">
        <v>158</v>
      </c>
    </row>
    <row r="45" spans="1:13">
      <c r="A45" s="17" t="s">
        <v>73</v>
      </c>
      <c r="B45" s="14" t="s">
        <v>4706</v>
      </c>
      <c r="C45" s="14" t="s">
        <v>4707</v>
      </c>
      <c r="D45" s="14" t="s">
        <v>373</v>
      </c>
      <c r="E45" s="14" t="str">
        <f>"0,7522"</f>
        <v>0,7522</v>
      </c>
      <c r="F45" s="14" t="s">
        <v>2714</v>
      </c>
      <c r="G45" s="15" t="s">
        <v>34</v>
      </c>
      <c r="H45" s="15" t="s">
        <v>26</v>
      </c>
      <c r="I45" s="16" t="s">
        <v>48</v>
      </c>
      <c r="J45" s="17"/>
      <c r="K45" s="40" t="str">
        <f>"60,0"</f>
        <v>60,0</v>
      </c>
      <c r="L45" s="17" t="str">
        <f>"45,1320"</f>
        <v>45,1320</v>
      </c>
      <c r="M45" s="14" t="s">
        <v>158</v>
      </c>
    </row>
    <row r="46" spans="1:13">
      <c r="A46" s="17" t="s">
        <v>75</v>
      </c>
      <c r="B46" s="14" t="s">
        <v>4708</v>
      </c>
      <c r="C46" s="14" t="s">
        <v>1887</v>
      </c>
      <c r="D46" s="14" t="s">
        <v>2372</v>
      </c>
      <c r="E46" s="14" t="str">
        <f>"0,7733"</f>
        <v>0,7733</v>
      </c>
      <c r="F46" s="14" t="s">
        <v>1481</v>
      </c>
      <c r="G46" s="15" t="s">
        <v>25</v>
      </c>
      <c r="H46" s="15" t="s">
        <v>35</v>
      </c>
      <c r="I46" s="16" t="s">
        <v>26</v>
      </c>
      <c r="J46" s="17"/>
      <c r="K46" s="40" t="str">
        <f>"57,5"</f>
        <v>57,5</v>
      </c>
      <c r="L46" s="17" t="str">
        <f>"44,4647"</f>
        <v>44,4647</v>
      </c>
      <c r="M46" s="14" t="s">
        <v>158</v>
      </c>
    </row>
    <row r="47" spans="1:13">
      <c r="A47" s="17" t="s">
        <v>87</v>
      </c>
      <c r="B47" s="14" t="s">
        <v>4709</v>
      </c>
      <c r="C47" s="14" t="s">
        <v>4710</v>
      </c>
      <c r="D47" s="14" t="s">
        <v>970</v>
      </c>
      <c r="E47" s="14" t="str">
        <f>"0,7484"</f>
        <v>0,7484</v>
      </c>
      <c r="F47" s="14" t="s">
        <v>4711</v>
      </c>
      <c r="G47" s="15" t="s">
        <v>103</v>
      </c>
      <c r="H47" s="15" t="s">
        <v>34</v>
      </c>
      <c r="I47" s="15" t="s">
        <v>35</v>
      </c>
      <c r="J47" s="17"/>
      <c r="K47" s="40" t="str">
        <f>"57,5"</f>
        <v>57,5</v>
      </c>
      <c r="L47" s="17" t="str">
        <f>"43,0330"</f>
        <v>43,0330</v>
      </c>
      <c r="M47" s="14" t="s">
        <v>158</v>
      </c>
    </row>
    <row r="48" spans="1:13">
      <c r="A48" s="17" t="s">
        <v>168</v>
      </c>
      <c r="B48" s="14" t="s">
        <v>2229</v>
      </c>
      <c r="C48" s="14" t="s">
        <v>2230</v>
      </c>
      <c r="D48" s="14" t="s">
        <v>2231</v>
      </c>
      <c r="E48" s="14" t="str">
        <f>"0,7722"</f>
        <v>0,7722</v>
      </c>
      <c r="F48" s="14" t="s">
        <v>129</v>
      </c>
      <c r="G48" s="15" t="s">
        <v>103</v>
      </c>
      <c r="H48" s="15" t="s">
        <v>4712</v>
      </c>
      <c r="I48" s="16" t="s">
        <v>4713</v>
      </c>
      <c r="J48" s="17"/>
      <c r="K48" s="40" t="str">
        <f>"53,0"</f>
        <v>53,0</v>
      </c>
      <c r="L48" s="17" t="str">
        <f>"40,9292"</f>
        <v>40,9292</v>
      </c>
      <c r="M48" s="14" t="s">
        <v>158</v>
      </c>
    </row>
    <row r="49" spans="1:13">
      <c r="A49" s="17" t="s">
        <v>172</v>
      </c>
      <c r="B49" s="14" t="s">
        <v>4714</v>
      </c>
      <c r="C49" s="14" t="s">
        <v>4715</v>
      </c>
      <c r="D49" s="14" t="s">
        <v>4716</v>
      </c>
      <c r="E49" s="14" t="str">
        <f>"0,7494"</f>
        <v>0,7494</v>
      </c>
      <c r="F49" s="14" t="s">
        <v>591</v>
      </c>
      <c r="G49" s="15" t="s">
        <v>34</v>
      </c>
      <c r="H49" s="16" t="s">
        <v>35</v>
      </c>
      <c r="I49" s="16" t="s">
        <v>35</v>
      </c>
      <c r="J49" s="17"/>
      <c r="K49" s="40" t="str">
        <f>"52,5"</f>
        <v>52,5</v>
      </c>
      <c r="L49" s="17" t="str">
        <f>"39,3409"</f>
        <v>39,3409</v>
      </c>
      <c r="M49" s="14" t="s">
        <v>158</v>
      </c>
    </row>
    <row r="50" spans="1:13">
      <c r="A50" s="17" t="s">
        <v>92</v>
      </c>
      <c r="B50" s="14" t="s">
        <v>4717</v>
      </c>
      <c r="C50" s="14" t="s">
        <v>4718</v>
      </c>
      <c r="D50" s="14" t="s">
        <v>252</v>
      </c>
      <c r="E50" s="14" t="str">
        <f>"0,7681"</f>
        <v>0,7681</v>
      </c>
      <c r="F50" s="14" t="s">
        <v>227</v>
      </c>
      <c r="G50" s="16" t="s">
        <v>57</v>
      </c>
      <c r="H50" s="16" t="s">
        <v>57</v>
      </c>
      <c r="I50" s="16" t="s">
        <v>57</v>
      </c>
      <c r="J50" s="17"/>
      <c r="K50" s="40">
        <v>0</v>
      </c>
      <c r="L50" s="17" t="str">
        <f>"0,0000"</f>
        <v>0,0000</v>
      </c>
      <c r="M50" s="14" t="s">
        <v>158</v>
      </c>
    </row>
    <row r="51" spans="1:13">
      <c r="A51" s="17" t="s">
        <v>15</v>
      </c>
      <c r="B51" s="14" t="s">
        <v>4719</v>
      </c>
      <c r="C51" s="14" t="s">
        <v>4720</v>
      </c>
      <c r="D51" s="14" t="s">
        <v>4716</v>
      </c>
      <c r="E51" s="14" t="str">
        <f>"0,7494"</f>
        <v>0,7494</v>
      </c>
      <c r="F51" s="14" t="s">
        <v>591</v>
      </c>
      <c r="G51" s="15" t="s">
        <v>34</v>
      </c>
      <c r="H51" s="16" t="s">
        <v>35</v>
      </c>
      <c r="I51" s="16" t="s">
        <v>35</v>
      </c>
      <c r="J51" s="17"/>
      <c r="K51" s="40" t="str">
        <f>"52,5"</f>
        <v>52,5</v>
      </c>
      <c r="L51" s="17" t="str">
        <f>"45,8321"</f>
        <v>45,8321</v>
      </c>
      <c r="M51" s="14" t="s">
        <v>158</v>
      </c>
    </row>
    <row r="52" spans="1:13">
      <c r="A52" s="17" t="s">
        <v>15</v>
      </c>
      <c r="B52" s="14" t="s">
        <v>2229</v>
      </c>
      <c r="C52" s="14" t="s">
        <v>4721</v>
      </c>
      <c r="D52" s="14" t="s">
        <v>2231</v>
      </c>
      <c r="E52" s="14" t="str">
        <f>"0,7722"</f>
        <v>0,7722</v>
      </c>
      <c r="F52" s="14" t="s">
        <v>129</v>
      </c>
      <c r="G52" s="15" t="s">
        <v>103</v>
      </c>
      <c r="H52" s="15" t="s">
        <v>4712</v>
      </c>
      <c r="I52" s="16" t="s">
        <v>4713</v>
      </c>
      <c r="J52" s="17"/>
      <c r="K52" s="40" t="str">
        <f>"53,0"</f>
        <v>53,0</v>
      </c>
      <c r="L52" s="17" t="str">
        <f>"54,8452"</f>
        <v>54,8452</v>
      </c>
      <c r="M52" s="14" t="s">
        <v>158</v>
      </c>
    </row>
    <row r="53" spans="1:13">
      <c r="A53" s="20" t="s">
        <v>62</v>
      </c>
      <c r="B53" s="18" t="s">
        <v>4722</v>
      </c>
      <c r="C53" s="18" t="s">
        <v>4723</v>
      </c>
      <c r="D53" s="18" t="s">
        <v>975</v>
      </c>
      <c r="E53" s="18" t="str">
        <f>"0,7503"</f>
        <v>0,7503</v>
      </c>
      <c r="F53" s="18" t="s">
        <v>91</v>
      </c>
      <c r="G53" s="19" t="s">
        <v>82</v>
      </c>
      <c r="H53" s="19" t="s">
        <v>83</v>
      </c>
      <c r="I53" s="22" t="s">
        <v>103</v>
      </c>
      <c r="J53" s="20"/>
      <c r="K53" s="38" t="str">
        <f>"47,5"</f>
        <v>47,5</v>
      </c>
      <c r="L53" s="20" t="str">
        <f>"49,6488"</f>
        <v>49,6488</v>
      </c>
      <c r="M53" s="18" t="s">
        <v>158</v>
      </c>
    </row>
    <row r="54" spans="1:13">
      <c r="B54" s="5" t="s">
        <v>40</v>
      </c>
    </row>
    <row r="55" spans="1:13" ht="15.95">
      <c r="A55" s="102" t="s">
        <v>301</v>
      </c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3">
      <c r="A56" s="13" t="s">
        <v>15</v>
      </c>
      <c r="B56" s="11" t="s">
        <v>4724</v>
      </c>
      <c r="C56" s="11" t="s">
        <v>4725</v>
      </c>
      <c r="D56" s="11" t="s">
        <v>3721</v>
      </c>
      <c r="E56" s="11" t="str">
        <f>"0,7117"</f>
        <v>0,7117</v>
      </c>
      <c r="F56" s="11" t="s">
        <v>1533</v>
      </c>
      <c r="G56" s="12" t="s">
        <v>135</v>
      </c>
      <c r="H56" s="12" t="s">
        <v>22</v>
      </c>
      <c r="I56" s="12" t="s">
        <v>82</v>
      </c>
      <c r="J56" s="13"/>
      <c r="K56" s="37" t="str">
        <f>"45,0"</f>
        <v>45,0</v>
      </c>
      <c r="L56" s="13" t="str">
        <f>"32,0265"</f>
        <v>32,0265</v>
      </c>
      <c r="M56" s="11" t="s">
        <v>4726</v>
      </c>
    </row>
    <row r="57" spans="1:13">
      <c r="A57" s="17" t="s">
        <v>15</v>
      </c>
      <c r="B57" s="14" t="s">
        <v>4299</v>
      </c>
      <c r="C57" s="14" t="s">
        <v>4727</v>
      </c>
      <c r="D57" s="14" t="s">
        <v>1003</v>
      </c>
      <c r="E57" s="14" t="str">
        <f>"0,6906"</f>
        <v>0,6906</v>
      </c>
      <c r="F57" s="14" t="s">
        <v>1077</v>
      </c>
      <c r="G57" s="15" t="s">
        <v>33</v>
      </c>
      <c r="H57" s="15" t="s">
        <v>140</v>
      </c>
      <c r="I57" s="16" t="s">
        <v>4728</v>
      </c>
      <c r="J57" s="17"/>
      <c r="K57" s="40" t="str">
        <f>"72,5"</f>
        <v>72,5</v>
      </c>
      <c r="L57" s="17" t="str">
        <f>"50,0685"</f>
        <v>50,0685</v>
      </c>
      <c r="M57" s="14" t="s">
        <v>158</v>
      </c>
    </row>
    <row r="58" spans="1:13">
      <c r="A58" s="17" t="s">
        <v>62</v>
      </c>
      <c r="B58" s="14" t="s">
        <v>4729</v>
      </c>
      <c r="C58" s="14" t="s">
        <v>4730</v>
      </c>
      <c r="D58" s="14" t="s">
        <v>1403</v>
      </c>
      <c r="E58" s="14" t="str">
        <f>"0,6955"</f>
        <v>0,6955</v>
      </c>
      <c r="F58" s="14" t="s">
        <v>1309</v>
      </c>
      <c r="G58" s="16" t="s">
        <v>48</v>
      </c>
      <c r="H58" s="15" t="s">
        <v>32</v>
      </c>
      <c r="I58" s="16" t="s">
        <v>33</v>
      </c>
      <c r="J58" s="17"/>
      <c r="K58" s="40" t="str">
        <f>"65,0"</f>
        <v>65,0</v>
      </c>
      <c r="L58" s="17" t="str">
        <f>"45,2043"</f>
        <v>45,2043</v>
      </c>
      <c r="M58" s="14" t="s">
        <v>158</v>
      </c>
    </row>
    <row r="59" spans="1:13">
      <c r="A59" s="17" t="s">
        <v>73</v>
      </c>
      <c r="B59" s="14" t="s">
        <v>4731</v>
      </c>
      <c r="C59" s="14" t="s">
        <v>4732</v>
      </c>
      <c r="D59" s="14" t="s">
        <v>1607</v>
      </c>
      <c r="E59" s="14" t="str">
        <f>"0,6975"</f>
        <v>0,6975</v>
      </c>
      <c r="F59" s="14" t="s">
        <v>4733</v>
      </c>
      <c r="G59" s="15" t="s">
        <v>48</v>
      </c>
      <c r="H59" s="16" t="s">
        <v>32</v>
      </c>
      <c r="I59" s="16" t="s">
        <v>32</v>
      </c>
      <c r="J59" s="17"/>
      <c r="K59" s="40" t="str">
        <f>"62,5"</f>
        <v>62,5</v>
      </c>
      <c r="L59" s="17" t="str">
        <f>"43,5969"</f>
        <v>43,5969</v>
      </c>
      <c r="M59" s="14" t="s">
        <v>158</v>
      </c>
    </row>
    <row r="60" spans="1:13">
      <c r="A60" s="17" t="s">
        <v>75</v>
      </c>
      <c r="B60" s="14" t="s">
        <v>4734</v>
      </c>
      <c r="C60" s="14" t="s">
        <v>4735</v>
      </c>
      <c r="D60" s="14" t="s">
        <v>2505</v>
      </c>
      <c r="E60" s="14" t="str">
        <f>"0,6969"</f>
        <v>0,6969</v>
      </c>
      <c r="F60" s="14" t="s">
        <v>1204</v>
      </c>
      <c r="G60" s="15" t="s">
        <v>25</v>
      </c>
      <c r="H60" s="15" t="s">
        <v>26</v>
      </c>
      <c r="I60" s="15" t="s">
        <v>48</v>
      </c>
      <c r="J60" s="17"/>
      <c r="K60" s="40" t="str">
        <f>"62,5"</f>
        <v>62,5</v>
      </c>
      <c r="L60" s="17" t="str">
        <f>"43,5531"</f>
        <v>43,5531</v>
      </c>
      <c r="M60" s="14" t="s">
        <v>158</v>
      </c>
    </row>
    <row r="61" spans="1:13">
      <c r="A61" s="17" t="s">
        <v>15</v>
      </c>
      <c r="B61" s="14" t="s">
        <v>4736</v>
      </c>
      <c r="C61" s="14" t="s">
        <v>4737</v>
      </c>
      <c r="D61" s="14" t="s">
        <v>1003</v>
      </c>
      <c r="E61" s="14" t="str">
        <f>"0,6906"</f>
        <v>0,6906</v>
      </c>
      <c r="F61" s="14" t="s">
        <v>737</v>
      </c>
      <c r="G61" s="15" t="s">
        <v>33</v>
      </c>
      <c r="H61" s="15" t="s">
        <v>4728</v>
      </c>
      <c r="I61" s="15" t="s">
        <v>4738</v>
      </c>
      <c r="J61" s="15" t="s">
        <v>4739</v>
      </c>
      <c r="K61" s="40" t="str">
        <f>"76,0"</f>
        <v>76,0</v>
      </c>
      <c r="L61" s="17" t="str">
        <f>"52,4856"</f>
        <v>52,4856</v>
      </c>
      <c r="M61" s="14" t="s">
        <v>158</v>
      </c>
    </row>
    <row r="62" spans="1:13">
      <c r="A62" s="17" t="s">
        <v>62</v>
      </c>
      <c r="B62" s="14" t="s">
        <v>4740</v>
      </c>
      <c r="C62" s="14" t="s">
        <v>4741</v>
      </c>
      <c r="D62" s="14" t="s">
        <v>949</v>
      </c>
      <c r="E62" s="14" t="str">
        <f>"0,6998"</f>
        <v>0,6998</v>
      </c>
      <c r="F62" s="14" t="s">
        <v>91</v>
      </c>
      <c r="G62" s="16" t="s">
        <v>140</v>
      </c>
      <c r="H62" s="15" t="s">
        <v>140</v>
      </c>
      <c r="I62" s="15" t="s">
        <v>80</v>
      </c>
      <c r="J62" s="16" t="s">
        <v>4742</v>
      </c>
      <c r="K62" s="40" t="str">
        <f>"75,0"</f>
        <v>75,0</v>
      </c>
      <c r="L62" s="17" t="str">
        <f>"52,4813"</f>
        <v>52,4813</v>
      </c>
      <c r="M62" s="14" t="s">
        <v>4743</v>
      </c>
    </row>
    <row r="63" spans="1:13">
      <c r="A63" s="17" t="s">
        <v>73</v>
      </c>
      <c r="B63" s="14" t="s">
        <v>444</v>
      </c>
      <c r="C63" s="14" t="s">
        <v>445</v>
      </c>
      <c r="D63" s="14" t="s">
        <v>396</v>
      </c>
      <c r="E63" s="14" t="str">
        <f>"0,7019"</f>
        <v>0,7019</v>
      </c>
      <c r="F63" s="14" t="s">
        <v>134</v>
      </c>
      <c r="G63" s="15" t="s">
        <v>33</v>
      </c>
      <c r="H63" s="15" t="s">
        <v>4728</v>
      </c>
      <c r="I63" s="15" t="s">
        <v>4744</v>
      </c>
      <c r="J63" s="17"/>
      <c r="K63" s="40" t="str">
        <f>"74,0"</f>
        <v>74,0</v>
      </c>
      <c r="L63" s="17" t="str">
        <f>"51,9406"</f>
        <v>51,9406</v>
      </c>
      <c r="M63" s="14" t="s">
        <v>447</v>
      </c>
    </row>
    <row r="64" spans="1:13">
      <c r="A64" s="17" t="s">
        <v>75</v>
      </c>
      <c r="B64" s="14" t="s">
        <v>4299</v>
      </c>
      <c r="C64" s="14" t="s">
        <v>4745</v>
      </c>
      <c r="D64" s="14" t="s">
        <v>1003</v>
      </c>
      <c r="E64" s="14" t="str">
        <f>"0,6906"</f>
        <v>0,6906</v>
      </c>
      <c r="F64" s="14" t="s">
        <v>4301</v>
      </c>
      <c r="G64" s="15" t="s">
        <v>33</v>
      </c>
      <c r="H64" s="15" t="s">
        <v>140</v>
      </c>
      <c r="I64" s="16" t="s">
        <v>4728</v>
      </c>
      <c r="J64" s="17"/>
      <c r="K64" s="40" t="str">
        <f>"72,5"</f>
        <v>72,5</v>
      </c>
      <c r="L64" s="17" t="str">
        <f>"50,0685"</f>
        <v>50,0685</v>
      </c>
      <c r="M64" s="14" t="s">
        <v>158</v>
      </c>
    </row>
    <row r="65" spans="1:13">
      <c r="A65" s="17" t="s">
        <v>87</v>
      </c>
      <c r="B65" s="14" t="s">
        <v>4746</v>
      </c>
      <c r="C65" s="14" t="s">
        <v>4747</v>
      </c>
      <c r="D65" s="14" t="s">
        <v>331</v>
      </c>
      <c r="E65" s="14" t="str">
        <f>"0,6885"</f>
        <v>0,6885</v>
      </c>
      <c r="F65" s="14" t="s">
        <v>4748</v>
      </c>
      <c r="G65" s="15" t="s">
        <v>32</v>
      </c>
      <c r="H65" s="15" t="s">
        <v>33</v>
      </c>
      <c r="I65" s="16" t="s">
        <v>140</v>
      </c>
      <c r="J65" s="17"/>
      <c r="K65" s="40" t="str">
        <f>"70,0"</f>
        <v>70,0</v>
      </c>
      <c r="L65" s="17" t="str">
        <f>"48,1985"</f>
        <v>48,1985</v>
      </c>
      <c r="M65" s="14" t="s">
        <v>158</v>
      </c>
    </row>
    <row r="66" spans="1:13">
      <c r="A66" s="17" t="s">
        <v>168</v>
      </c>
      <c r="B66" s="14" t="s">
        <v>3112</v>
      </c>
      <c r="C66" s="14" t="s">
        <v>3113</v>
      </c>
      <c r="D66" s="14" t="s">
        <v>1013</v>
      </c>
      <c r="E66" s="14" t="str">
        <f>"0,7071"</f>
        <v>0,7071</v>
      </c>
      <c r="F66" s="14" t="s">
        <v>91</v>
      </c>
      <c r="G66" s="15" t="s">
        <v>34</v>
      </c>
      <c r="H66" s="15" t="s">
        <v>35</v>
      </c>
      <c r="I66" s="15" t="s">
        <v>32</v>
      </c>
      <c r="J66" s="16" t="s">
        <v>104</v>
      </c>
      <c r="K66" s="40" t="str">
        <f>"65,0"</f>
        <v>65,0</v>
      </c>
      <c r="L66" s="17" t="str">
        <f>"45,9615"</f>
        <v>45,9615</v>
      </c>
      <c r="M66" s="14" t="s">
        <v>158</v>
      </c>
    </row>
    <row r="67" spans="1:13">
      <c r="A67" s="17" t="s">
        <v>172</v>
      </c>
      <c r="B67" s="14" t="s">
        <v>4729</v>
      </c>
      <c r="C67" s="14" t="s">
        <v>4749</v>
      </c>
      <c r="D67" s="14" t="s">
        <v>1403</v>
      </c>
      <c r="E67" s="14" t="str">
        <f>"0,6955"</f>
        <v>0,6955</v>
      </c>
      <c r="F67" s="14" t="s">
        <v>1309</v>
      </c>
      <c r="G67" s="16" t="s">
        <v>48</v>
      </c>
      <c r="H67" s="15" t="s">
        <v>32</v>
      </c>
      <c r="I67" s="16" t="s">
        <v>33</v>
      </c>
      <c r="J67" s="17"/>
      <c r="K67" s="40" t="str">
        <f>"65,0"</f>
        <v>65,0</v>
      </c>
      <c r="L67" s="17" t="str">
        <f>"45,2043"</f>
        <v>45,2043</v>
      </c>
      <c r="M67" s="14" t="s">
        <v>158</v>
      </c>
    </row>
    <row r="68" spans="1:13">
      <c r="A68" s="17" t="s">
        <v>178</v>
      </c>
      <c r="B68" s="14" t="s">
        <v>4750</v>
      </c>
      <c r="C68" s="14" t="s">
        <v>4751</v>
      </c>
      <c r="D68" s="14" t="s">
        <v>440</v>
      </c>
      <c r="E68" s="14" t="str">
        <f>"0,6934"</f>
        <v>0,6934</v>
      </c>
      <c r="F68" s="14" t="s">
        <v>1697</v>
      </c>
      <c r="G68" s="15" t="s">
        <v>48</v>
      </c>
      <c r="H68" s="15" t="s">
        <v>32</v>
      </c>
      <c r="I68" s="16" t="s">
        <v>57</v>
      </c>
      <c r="J68" s="17"/>
      <c r="K68" s="40" t="str">
        <f>"65,0"</f>
        <v>65,0</v>
      </c>
      <c r="L68" s="17" t="str">
        <f>"45,0678"</f>
        <v>45,0678</v>
      </c>
      <c r="M68" s="14" t="s">
        <v>158</v>
      </c>
    </row>
    <row r="69" spans="1:13">
      <c r="A69" s="17" t="s">
        <v>183</v>
      </c>
      <c r="B69" s="14" t="s">
        <v>4752</v>
      </c>
      <c r="C69" s="14" t="s">
        <v>4753</v>
      </c>
      <c r="D69" s="14" t="s">
        <v>308</v>
      </c>
      <c r="E69" s="14" t="str">
        <f>"0,6892"</f>
        <v>0,6892</v>
      </c>
      <c r="F69" s="14" t="s">
        <v>54</v>
      </c>
      <c r="G69" s="15" t="s">
        <v>32</v>
      </c>
      <c r="H69" s="16" t="s">
        <v>57</v>
      </c>
      <c r="I69" s="17" t="s">
        <v>4344</v>
      </c>
      <c r="J69" s="17"/>
      <c r="K69" s="40" t="str">
        <f>"65,0"</f>
        <v>65,0</v>
      </c>
      <c r="L69" s="17" t="str">
        <f>"44,7980"</f>
        <v>44,7980</v>
      </c>
      <c r="M69" s="14" t="s">
        <v>61</v>
      </c>
    </row>
    <row r="70" spans="1:13">
      <c r="A70" s="17" t="s">
        <v>186</v>
      </c>
      <c r="B70" s="14" t="s">
        <v>1431</v>
      </c>
      <c r="C70" s="14" t="s">
        <v>1432</v>
      </c>
      <c r="D70" s="14" t="s">
        <v>402</v>
      </c>
      <c r="E70" s="14" t="str">
        <f>"0,7049"</f>
        <v>0,7049</v>
      </c>
      <c r="F70" s="14" t="s">
        <v>2098</v>
      </c>
      <c r="G70" s="15" t="s">
        <v>103</v>
      </c>
      <c r="H70" s="15" t="s">
        <v>35</v>
      </c>
      <c r="I70" s="16" t="s">
        <v>48</v>
      </c>
      <c r="J70" s="17"/>
      <c r="K70" s="40" t="str">
        <f>"57,5"</f>
        <v>57,5</v>
      </c>
      <c r="L70" s="17" t="str">
        <f>"40,5289"</f>
        <v>40,5289</v>
      </c>
      <c r="M70" s="14" t="s">
        <v>158</v>
      </c>
    </row>
    <row r="71" spans="1:13">
      <c r="A71" s="17" t="s">
        <v>556</v>
      </c>
      <c r="B71" s="14" t="s">
        <v>4754</v>
      </c>
      <c r="C71" s="14" t="s">
        <v>4755</v>
      </c>
      <c r="D71" s="14" t="s">
        <v>1403</v>
      </c>
      <c r="E71" s="14" t="str">
        <f>"0,6955"</f>
        <v>0,6955</v>
      </c>
      <c r="F71" s="14" t="s">
        <v>644</v>
      </c>
      <c r="G71" s="15" t="s">
        <v>82</v>
      </c>
      <c r="H71" s="15" t="s">
        <v>103</v>
      </c>
      <c r="I71" s="15" t="s">
        <v>34</v>
      </c>
      <c r="J71" s="17"/>
      <c r="K71" s="40" t="str">
        <f>"52,5"</f>
        <v>52,5</v>
      </c>
      <c r="L71" s="17" t="str">
        <f>"36,5111"</f>
        <v>36,5111</v>
      </c>
      <c r="M71" s="14" t="s">
        <v>2767</v>
      </c>
    </row>
    <row r="72" spans="1:13">
      <c r="A72" s="17" t="s">
        <v>559</v>
      </c>
      <c r="B72" s="14" t="s">
        <v>4756</v>
      </c>
      <c r="C72" s="14" t="s">
        <v>4757</v>
      </c>
      <c r="D72" s="14" t="s">
        <v>416</v>
      </c>
      <c r="E72" s="14" t="str">
        <f>"0,7012"</f>
        <v>0,7012</v>
      </c>
      <c r="F72" s="14" t="s">
        <v>3415</v>
      </c>
      <c r="G72" s="15" t="s">
        <v>82</v>
      </c>
      <c r="H72" s="15" t="s">
        <v>103</v>
      </c>
      <c r="I72" s="16" t="s">
        <v>25</v>
      </c>
      <c r="J72" s="17"/>
      <c r="K72" s="40" t="str">
        <f>"50,0"</f>
        <v>50,0</v>
      </c>
      <c r="L72" s="17" t="str">
        <f>"35,0575"</f>
        <v>35,0575</v>
      </c>
      <c r="M72" s="14" t="s">
        <v>3416</v>
      </c>
    </row>
    <row r="73" spans="1:13">
      <c r="A73" s="17" t="s">
        <v>15</v>
      </c>
      <c r="B73" s="14" t="s">
        <v>4758</v>
      </c>
      <c r="C73" s="14" t="s">
        <v>4759</v>
      </c>
      <c r="D73" s="14" t="s">
        <v>4760</v>
      </c>
      <c r="E73" s="14" t="str">
        <f>"0,7157"</f>
        <v>0,7157</v>
      </c>
      <c r="F73" s="14" t="s">
        <v>66</v>
      </c>
      <c r="G73" s="15" t="s">
        <v>25</v>
      </c>
      <c r="H73" s="15" t="s">
        <v>26</v>
      </c>
      <c r="I73" s="15" t="s">
        <v>32</v>
      </c>
      <c r="J73" s="17"/>
      <c r="K73" s="40" t="str">
        <f>"65,0"</f>
        <v>65,0</v>
      </c>
      <c r="L73" s="17" t="str">
        <f>"46,9824"</f>
        <v>46,9824</v>
      </c>
      <c r="M73" s="14" t="s">
        <v>158</v>
      </c>
    </row>
    <row r="74" spans="1:13">
      <c r="A74" s="17" t="s">
        <v>62</v>
      </c>
      <c r="B74" s="14" t="s">
        <v>4750</v>
      </c>
      <c r="C74" s="14" t="s">
        <v>4761</v>
      </c>
      <c r="D74" s="14" t="s">
        <v>440</v>
      </c>
      <c r="E74" s="14" t="str">
        <f>"0,6934"</f>
        <v>0,6934</v>
      </c>
      <c r="F74" s="14" t="s">
        <v>1697</v>
      </c>
      <c r="G74" s="15" t="s">
        <v>48</v>
      </c>
      <c r="H74" s="15" t="s">
        <v>32</v>
      </c>
      <c r="I74" s="16" t="s">
        <v>57</v>
      </c>
      <c r="J74" s="17"/>
      <c r="K74" s="40" t="str">
        <f>"65,0"</f>
        <v>65,0</v>
      </c>
      <c r="L74" s="17" t="str">
        <f>"47,5465"</f>
        <v>47,5465</v>
      </c>
      <c r="M74" s="14" t="s">
        <v>158</v>
      </c>
    </row>
    <row r="75" spans="1:13">
      <c r="A75" s="17" t="s">
        <v>73</v>
      </c>
      <c r="B75" s="14" t="s">
        <v>4762</v>
      </c>
      <c r="C75" s="14" t="s">
        <v>4763</v>
      </c>
      <c r="D75" s="14" t="s">
        <v>308</v>
      </c>
      <c r="E75" s="14" t="str">
        <f>"0,6892"</f>
        <v>0,6892</v>
      </c>
      <c r="F75" s="14" t="s">
        <v>91</v>
      </c>
      <c r="G75" s="15" t="s">
        <v>32</v>
      </c>
      <c r="H75" s="16" t="s">
        <v>33</v>
      </c>
      <c r="I75" s="16" t="s">
        <v>33</v>
      </c>
      <c r="J75" s="17"/>
      <c r="K75" s="40" t="str">
        <f>"65,0"</f>
        <v>65,0</v>
      </c>
      <c r="L75" s="17" t="str">
        <f>"45,6940"</f>
        <v>45,6940</v>
      </c>
      <c r="M75" s="14" t="s">
        <v>158</v>
      </c>
    </row>
    <row r="76" spans="1:13">
      <c r="A76" s="20" t="s">
        <v>75</v>
      </c>
      <c r="B76" s="18" t="s">
        <v>3983</v>
      </c>
      <c r="C76" s="18" t="s">
        <v>3987</v>
      </c>
      <c r="D76" s="18" t="s">
        <v>1421</v>
      </c>
      <c r="E76" s="18" t="str">
        <f>"0,6940"</f>
        <v>0,6940</v>
      </c>
      <c r="F76" s="18" t="s">
        <v>66</v>
      </c>
      <c r="G76" s="19" t="s">
        <v>82</v>
      </c>
      <c r="H76" s="19" t="s">
        <v>34</v>
      </c>
      <c r="I76" s="19" t="s">
        <v>25</v>
      </c>
      <c r="J76" s="20"/>
      <c r="K76" s="38" t="str">
        <f>"55,0"</f>
        <v>55,0</v>
      </c>
      <c r="L76" s="20" t="str">
        <f>"38,5517"</f>
        <v>38,5517</v>
      </c>
      <c r="M76" s="18" t="s">
        <v>158</v>
      </c>
    </row>
    <row r="77" spans="1:13">
      <c r="B77" s="5" t="s">
        <v>40</v>
      </c>
    </row>
    <row r="78" spans="1:13" ht="15.95">
      <c r="A78" s="102" t="s">
        <v>334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</row>
    <row r="79" spans="1:13">
      <c r="A79" s="13" t="s">
        <v>15</v>
      </c>
      <c r="B79" s="11" t="s">
        <v>2482</v>
      </c>
      <c r="C79" s="11" t="s">
        <v>4764</v>
      </c>
      <c r="D79" s="11" t="s">
        <v>4109</v>
      </c>
      <c r="E79" s="11" t="str">
        <f>"0,6737"</f>
        <v>0,6737</v>
      </c>
      <c r="F79" s="11" t="s">
        <v>91</v>
      </c>
      <c r="G79" s="12" t="s">
        <v>34</v>
      </c>
      <c r="H79" s="21" t="s">
        <v>26</v>
      </c>
      <c r="I79" s="21" t="s">
        <v>26</v>
      </c>
      <c r="J79" s="13"/>
      <c r="K79" s="37" t="str">
        <f>"52,5"</f>
        <v>52,5</v>
      </c>
      <c r="L79" s="13" t="str">
        <f>"35,3666"</f>
        <v>35,3666</v>
      </c>
      <c r="M79" s="11" t="s">
        <v>158</v>
      </c>
    </row>
    <row r="80" spans="1:13">
      <c r="A80" s="17" t="s">
        <v>15</v>
      </c>
      <c r="B80" s="14" t="s">
        <v>4765</v>
      </c>
      <c r="C80" s="14" t="s">
        <v>4766</v>
      </c>
      <c r="D80" s="14" t="s">
        <v>3132</v>
      </c>
      <c r="E80" s="14" t="str">
        <f>"0,6497"</f>
        <v>0,6497</v>
      </c>
      <c r="F80" s="14" t="s">
        <v>2782</v>
      </c>
      <c r="G80" s="15" t="s">
        <v>81</v>
      </c>
      <c r="H80" s="15" t="s">
        <v>67</v>
      </c>
      <c r="I80" s="16" t="s">
        <v>36</v>
      </c>
      <c r="J80" s="17"/>
      <c r="K80" s="40" t="str">
        <f>"85,0"</f>
        <v>85,0</v>
      </c>
      <c r="L80" s="17" t="str">
        <f>"55,2287"</f>
        <v>55,2287</v>
      </c>
      <c r="M80" s="14" t="s">
        <v>4767</v>
      </c>
    </row>
    <row r="81" spans="1:13">
      <c r="A81" s="17" t="s">
        <v>62</v>
      </c>
      <c r="B81" s="14" t="s">
        <v>4768</v>
      </c>
      <c r="C81" s="14" t="s">
        <v>4769</v>
      </c>
      <c r="D81" s="14" t="s">
        <v>2118</v>
      </c>
      <c r="E81" s="14" t="str">
        <f>"0,6600"</f>
        <v>0,6600</v>
      </c>
      <c r="F81" s="14" t="s">
        <v>906</v>
      </c>
      <c r="G81" s="15" t="s">
        <v>140</v>
      </c>
      <c r="H81" s="15" t="s">
        <v>104</v>
      </c>
      <c r="I81" s="16" t="s">
        <v>81</v>
      </c>
      <c r="J81" s="17"/>
      <c r="K81" s="40" t="str">
        <f>"77,5"</f>
        <v>77,5</v>
      </c>
      <c r="L81" s="17" t="str">
        <f>"51,1539"</f>
        <v>51,1539</v>
      </c>
      <c r="M81" s="14" t="s">
        <v>158</v>
      </c>
    </row>
    <row r="82" spans="1:13">
      <c r="A82" s="17" t="s">
        <v>15</v>
      </c>
      <c r="B82" s="14" t="s">
        <v>4770</v>
      </c>
      <c r="C82" s="14" t="s">
        <v>4771</v>
      </c>
      <c r="D82" s="14" t="s">
        <v>546</v>
      </c>
      <c r="E82" s="14" t="str">
        <f>"0,6567"</f>
        <v>0,6567</v>
      </c>
      <c r="F82" s="14" t="s">
        <v>4772</v>
      </c>
      <c r="G82" s="15" t="s">
        <v>68</v>
      </c>
      <c r="H82" s="15" t="s">
        <v>37</v>
      </c>
      <c r="I82" s="15" t="s">
        <v>110</v>
      </c>
      <c r="J82" s="16" t="s">
        <v>4773</v>
      </c>
      <c r="K82" s="40" t="str">
        <f>"97,5"</f>
        <v>97,5</v>
      </c>
      <c r="L82" s="17" t="str">
        <f>"64,0283"</f>
        <v>64,0283</v>
      </c>
      <c r="M82" s="14" t="s">
        <v>158</v>
      </c>
    </row>
    <row r="83" spans="1:13">
      <c r="A83" s="17" t="s">
        <v>62</v>
      </c>
      <c r="B83" s="14" t="s">
        <v>4774</v>
      </c>
      <c r="C83" s="14" t="s">
        <v>4775</v>
      </c>
      <c r="D83" s="14" t="s">
        <v>554</v>
      </c>
      <c r="E83" s="14" t="str">
        <f>"0,6487"</f>
        <v>0,6487</v>
      </c>
      <c r="F83" s="14" t="s">
        <v>91</v>
      </c>
      <c r="G83" s="16" t="s">
        <v>36</v>
      </c>
      <c r="H83" s="15" t="s">
        <v>36</v>
      </c>
      <c r="I83" s="16" t="s">
        <v>68</v>
      </c>
      <c r="J83" s="17"/>
      <c r="K83" s="40" t="str">
        <f>"90,0"</f>
        <v>90,0</v>
      </c>
      <c r="L83" s="17" t="str">
        <f>"58,3830"</f>
        <v>58,3830</v>
      </c>
      <c r="M83" s="14" t="s">
        <v>158</v>
      </c>
    </row>
    <row r="84" spans="1:13">
      <c r="A84" s="17" t="s">
        <v>73</v>
      </c>
      <c r="B84" s="14" t="s">
        <v>4765</v>
      </c>
      <c r="C84" s="14" t="s">
        <v>4776</v>
      </c>
      <c r="D84" s="14" t="s">
        <v>3132</v>
      </c>
      <c r="E84" s="14" t="str">
        <f>"0,6497"</f>
        <v>0,6497</v>
      </c>
      <c r="F84" s="14" t="s">
        <v>2782</v>
      </c>
      <c r="G84" s="15" t="s">
        <v>81</v>
      </c>
      <c r="H84" s="15" t="s">
        <v>67</v>
      </c>
      <c r="I84" s="16" t="s">
        <v>36</v>
      </c>
      <c r="J84" s="17"/>
      <c r="K84" s="40" t="str">
        <f>"85,0"</f>
        <v>85,0</v>
      </c>
      <c r="L84" s="17" t="str">
        <f>"55,2287"</f>
        <v>55,2287</v>
      </c>
      <c r="M84" s="14" t="s">
        <v>4767</v>
      </c>
    </row>
    <row r="85" spans="1:13">
      <c r="A85" s="17" t="s">
        <v>75</v>
      </c>
      <c r="B85" s="14" t="s">
        <v>4768</v>
      </c>
      <c r="C85" s="14" t="s">
        <v>4777</v>
      </c>
      <c r="D85" s="14" t="s">
        <v>2118</v>
      </c>
      <c r="E85" s="14" t="str">
        <f>"0,6600"</f>
        <v>0,6600</v>
      </c>
      <c r="F85" s="14" t="s">
        <v>906</v>
      </c>
      <c r="G85" s="15" t="s">
        <v>140</v>
      </c>
      <c r="H85" s="15" t="s">
        <v>104</v>
      </c>
      <c r="I85" s="16" t="s">
        <v>81</v>
      </c>
      <c r="J85" s="17"/>
      <c r="K85" s="40" t="str">
        <f>"77,5"</f>
        <v>77,5</v>
      </c>
      <c r="L85" s="17" t="str">
        <f>"51,1539"</f>
        <v>51,1539</v>
      </c>
      <c r="M85" s="14" t="s">
        <v>158</v>
      </c>
    </row>
    <row r="86" spans="1:13">
      <c r="A86" s="17" t="s">
        <v>87</v>
      </c>
      <c r="B86" s="14" t="s">
        <v>2588</v>
      </c>
      <c r="C86" s="14" t="s">
        <v>2589</v>
      </c>
      <c r="D86" s="14" t="s">
        <v>554</v>
      </c>
      <c r="E86" s="14" t="str">
        <f>"0,6487"</f>
        <v>0,6487</v>
      </c>
      <c r="F86" s="14" t="s">
        <v>91</v>
      </c>
      <c r="G86" s="16" t="s">
        <v>33</v>
      </c>
      <c r="H86" s="16" t="s">
        <v>140</v>
      </c>
      <c r="I86" s="15" t="s">
        <v>140</v>
      </c>
      <c r="J86" s="17"/>
      <c r="K86" s="40" t="str">
        <f>"72,5"</f>
        <v>72,5</v>
      </c>
      <c r="L86" s="17" t="str">
        <f>"47,0307"</f>
        <v>47,0307</v>
      </c>
      <c r="M86" s="14" t="s">
        <v>158</v>
      </c>
    </row>
    <row r="87" spans="1:13">
      <c r="A87" s="17" t="s">
        <v>168</v>
      </c>
      <c r="B87" s="14" t="s">
        <v>3658</v>
      </c>
      <c r="C87" s="14" t="s">
        <v>3659</v>
      </c>
      <c r="D87" s="14" t="s">
        <v>488</v>
      </c>
      <c r="E87" s="14" t="str">
        <f>"0,6583"</f>
        <v>0,6583</v>
      </c>
      <c r="F87" s="14" t="s">
        <v>364</v>
      </c>
      <c r="G87" s="15" t="s">
        <v>57</v>
      </c>
      <c r="H87" s="15" t="s">
        <v>33</v>
      </c>
      <c r="I87" s="16" t="s">
        <v>140</v>
      </c>
      <c r="J87" s="17"/>
      <c r="K87" s="40" t="str">
        <f>"70,0"</f>
        <v>70,0</v>
      </c>
      <c r="L87" s="17" t="str">
        <f>"46,0845"</f>
        <v>46,0845</v>
      </c>
      <c r="M87" s="14" t="s">
        <v>158</v>
      </c>
    </row>
    <row r="88" spans="1:13">
      <c r="A88" s="17" t="s">
        <v>172</v>
      </c>
      <c r="B88" s="14" t="s">
        <v>4778</v>
      </c>
      <c r="C88" s="14" t="s">
        <v>4574</v>
      </c>
      <c r="D88" s="14" t="s">
        <v>2599</v>
      </c>
      <c r="E88" s="14" t="str">
        <f>"0,6508"</f>
        <v>0,6508</v>
      </c>
      <c r="F88" s="14" t="s">
        <v>91</v>
      </c>
      <c r="G88" s="15" t="s">
        <v>33</v>
      </c>
      <c r="H88" s="16" t="s">
        <v>140</v>
      </c>
      <c r="I88" s="16" t="s">
        <v>140</v>
      </c>
      <c r="J88" s="17"/>
      <c r="K88" s="40" t="str">
        <f>"70,0"</f>
        <v>70,0</v>
      </c>
      <c r="L88" s="17" t="str">
        <f>"45,5560"</f>
        <v>45,5560</v>
      </c>
      <c r="M88" s="14" t="s">
        <v>158</v>
      </c>
    </row>
    <row r="89" spans="1:13">
      <c r="A89" s="17" t="s">
        <v>178</v>
      </c>
      <c r="B89" s="14" t="s">
        <v>4779</v>
      </c>
      <c r="C89" s="14" t="s">
        <v>4780</v>
      </c>
      <c r="D89" s="14" t="s">
        <v>3159</v>
      </c>
      <c r="E89" s="14" t="str">
        <f>"0,6573"</f>
        <v>0,6573</v>
      </c>
      <c r="F89" s="14" t="s">
        <v>4781</v>
      </c>
      <c r="G89" s="15" t="s">
        <v>26</v>
      </c>
      <c r="H89" s="15" t="s">
        <v>32</v>
      </c>
      <c r="I89" s="16" t="s">
        <v>140</v>
      </c>
      <c r="J89" s="17"/>
      <c r="K89" s="40" t="str">
        <f>"65,0"</f>
        <v>65,0</v>
      </c>
      <c r="L89" s="17" t="str">
        <f>"42,7245"</f>
        <v>42,7245</v>
      </c>
      <c r="M89" s="14" t="s">
        <v>158</v>
      </c>
    </row>
    <row r="90" spans="1:13">
      <c r="A90" s="17" t="s">
        <v>183</v>
      </c>
      <c r="B90" s="14" t="s">
        <v>4782</v>
      </c>
      <c r="C90" s="14" t="s">
        <v>4783</v>
      </c>
      <c r="D90" s="14" t="s">
        <v>587</v>
      </c>
      <c r="E90" s="14" t="str">
        <f>"0,6524"</f>
        <v>0,6524</v>
      </c>
      <c r="F90" s="14" t="s">
        <v>166</v>
      </c>
      <c r="G90" s="15" t="s">
        <v>25</v>
      </c>
      <c r="H90" s="16" t="s">
        <v>26</v>
      </c>
      <c r="I90" s="15" t="s">
        <v>26</v>
      </c>
      <c r="J90" s="17"/>
      <c r="K90" s="40" t="str">
        <f>"60,0"</f>
        <v>60,0</v>
      </c>
      <c r="L90" s="17" t="str">
        <f>"39,1410"</f>
        <v>39,1410</v>
      </c>
      <c r="M90" s="14" t="s">
        <v>158</v>
      </c>
    </row>
    <row r="91" spans="1:13">
      <c r="A91" s="17" t="s">
        <v>15</v>
      </c>
      <c r="B91" s="14" t="s">
        <v>3893</v>
      </c>
      <c r="C91" s="14" t="s">
        <v>3894</v>
      </c>
      <c r="D91" s="14" t="s">
        <v>1666</v>
      </c>
      <c r="E91" s="14" t="str">
        <f>"0,6652"</f>
        <v>0,6652</v>
      </c>
      <c r="F91" s="14" t="s">
        <v>3896</v>
      </c>
      <c r="G91" s="15" t="s">
        <v>25</v>
      </c>
      <c r="H91" s="16" t="s">
        <v>26</v>
      </c>
      <c r="I91" s="15" t="s">
        <v>26</v>
      </c>
      <c r="J91" s="17"/>
      <c r="K91" s="40" t="str">
        <f>"60,0"</f>
        <v>60,0</v>
      </c>
      <c r="L91" s="17" t="str">
        <f>"41,1493"</f>
        <v>41,1493</v>
      </c>
      <c r="M91" s="14" t="s">
        <v>158</v>
      </c>
    </row>
    <row r="92" spans="1:13">
      <c r="A92" s="17" t="s">
        <v>15</v>
      </c>
      <c r="B92" s="14" t="s">
        <v>3163</v>
      </c>
      <c r="C92" s="14" t="s">
        <v>3164</v>
      </c>
      <c r="D92" s="14" t="s">
        <v>1685</v>
      </c>
      <c r="E92" s="14" t="str">
        <f>"0,6482"</f>
        <v>0,6482</v>
      </c>
      <c r="F92" s="14" t="s">
        <v>3165</v>
      </c>
      <c r="G92" s="15" t="s">
        <v>103</v>
      </c>
      <c r="H92" s="15" t="s">
        <v>25</v>
      </c>
      <c r="I92" s="15" t="s">
        <v>35</v>
      </c>
      <c r="J92" s="17"/>
      <c r="K92" s="40" t="str">
        <f>"57,5"</f>
        <v>57,5</v>
      </c>
      <c r="L92" s="17" t="str">
        <f>"46,4403"</f>
        <v>46,4403</v>
      </c>
      <c r="M92" s="14" t="s">
        <v>3166</v>
      </c>
    </row>
    <row r="93" spans="1:13">
      <c r="A93" s="17" t="s">
        <v>15</v>
      </c>
      <c r="B93" s="14" t="s">
        <v>4784</v>
      </c>
      <c r="C93" s="14" t="s">
        <v>4785</v>
      </c>
      <c r="D93" s="14" t="s">
        <v>1465</v>
      </c>
      <c r="E93" s="14" t="str">
        <f>"0,6694"</f>
        <v>0,6694</v>
      </c>
      <c r="F93" s="14" t="s">
        <v>91</v>
      </c>
      <c r="G93" s="15" t="s">
        <v>83</v>
      </c>
      <c r="H93" s="15" t="s">
        <v>25</v>
      </c>
      <c r="I93" s="15" t="s">
        <v>26</v>
      </c>
      <c r="J93" s="17"/>
      <c r="K93" s="40" t="str">
        <f>"60,0"</f>
        <v>60,0</v>
      </c>
      <c r="L93" s="17" t="str">
        <f>"55,9443"</f>
        <v>55,9443</v>
      </c>
      <c r="M93" s="14" t="s">
        <v>158</v>
      </c>
    </row>
    <row r="94" spans="1:13">
      <c r="A94" s="20" t="s">
        <v>62</v>
      </c>
      <c r="B94" s="18" t="s">
        <v>4786</v>
      </c>
      <c r="C94" s="18" t="s">
        <v>4787</v>
      </c>
      <c r="D94" s="18" t="s">
        <v>4788</v>
      </c>
      <c r="E94" s="18" t="str">
        <f>"0,6706"</f>
        <v>0,6706</v>
      </c>
      <c r="F94" s="18" t="s">
        <v>4789</v>
      </c>
      <c r="G94" s="22" t="s">
        <v>20</v>
      </c>
      <c r="H94" s="19" t="s">
        <v>20</v>
      </c>
      <c r="I94" s="19" t="s">
        <v>21</v>
      </c>
      <c r="J94" s="20"/>
      <c r="K94" s="38" t="str">
        <f>"40,0"</f>
        <v>40,0</v>
      </c>
      <c r="L94" s="20" t="str">
        <f>"44,1255"</f>
        <v>44,1255</v>
      </c>
      <c r="M94" s="18" t="s">
        <v>158</v>
      </c>
    </row>
    <row r="95" spans="1:13">
      <c r="B95" s="5" t="s">
        <v>40</v>
      </c>
    </row>
    <row r="96" spans="1:13" ht="15.95">
      <c r="A96" s="102" t="s">
        <v>598</v>
      </c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</row>
    <row r="97" spans="1:13">
      <c r="A97" s="13" t="s">
        <v>15</v>
      </c>
      <c r="B97" s="11" t="s">
        <v>4790</v>
      </c>
      <c r="C97" s="11" t="s">
        <v>4791</v>
      </c>
      <c r="D97" s="11" t="s">
        <v>1057</v>
      </c>
      <c r="E97" s="11" t="str">
        <f>"0,6373"</f>
        <v>0,6373</v>
      </c>
      <c r="F97" s="11" t="s">
        <v>1455</v>
      </c>
      <c r="G97" s="12" t="s">
        <v>57</v>
      </c>
      <c r="H97" s="12" t="s">
        <v>33</v>
      </c>
      <c r="I97" s="21" t="s">
        <v>140</v>
      </c>
      <c r="J97" s="13"/>
      <c r="K97" s="37" t="str">
        <f>"70,0"</f>
        <v>70,0</v>
      </c>
      <c r="L97" s="13" t="str">
        <f>"44,6075"</f>
        <v>44,6075</v>
      </c>
      <c r="M97" s="11" t="s">
        <v>158</v>
      </c>
    </row>
    <row r="98" spans="1:13">
      <c r="A98" s="17" t="s">
        <v>15</v>
      </c>
      <c r="B98" s="14" t="s">
        <v>4792</v>
      </c>
      <c r="C98" s="14" t="s">
        <v>4793</v>
      </c>
      <c r="D98" s="14" t="s">
        <v>1474</v>
      </c>
      <c r="E98" s="14" t="str">
        <f>"0,6188"</f>
        <v>0,6188</v>
      </c>
      <c r="F98" s="14" t="s">
        <v>227</v>
      </c>
      <c r="G98" s="15" t="s">
        <v>37</v>
      </c>
      <c r="H98" s="16" t="s">
        <v>38</v>
      </c>
      <c r="I98" s="16" t="s">
        <v>38</v>
      </c>
      <c r="J98" s="17"/>
      <c r="K98" s="40" t="str">
        <f>"95,0"</f>
        <v>95,0</v>
      </c>
      <c r="L98" s="17" t="str">
        <f>"58,7907"</f>
        <v>58,7907</v>
      </c>
      <c r="M98" s="14" t="s">
        <v>158</v>
      </c>
    </row>
    <row r="99" spans="1:13">
      <c r="A99" s="17" t="s">
        <v>62</v>
      </c>
      <c r="B99" s="14" t="s">
        <v>4794</v>
      </c>
      <c r="C99" s="14" t="s">
        <v>4795</v>
      </c>
      <c r="D99" s="14" t="s">
        <v>1070</v>
      </c>
      <c r="E99" s="14" t="str">
        <f>"0,6161"</f>
        <v>0,6161</v>
      </c>
      <c r="F99" s="14" t="s">
        <v>2782</v>
      </c>
      <c r="G99" s="15" t="s">
        <v>146</v>
      </c>
      <c r="H99" s="15" t="s">
        <v>67</v>
      </c>
      <c r="I99" s="15" t="s">
        <v>4796</v>
      </c>
      <c r="J99" s="17"/>
      <c r="K99" s="40" t="str">
        <f>"86,5"</f>
        <v>86,5</v>
      </c>
      <c r="L99" s="17" t="str">
        <f>"53,2883"</f>
        <v>53,2883</v>
      </c>
      <c r="M99" s="14" t="s">
        <v>4797</v>
      </c>
    </row>
    <row r="100" spans="1:13">
      <c r="A100" s="17" t="s">
        <v>73</v>
      </c>
      <c r="B100" s="14" t="s">
        <v>4798</v>
      </c>
      <c r="C100" s="14" t="s">
        <v>4799</v>
      </c>
      <c r="D100" s="14" t="s">
        <v>1474</v>
      </c>
      <c r="E100" s="14" t="str">
        <f>"0,6188"</f>
        <v>0,6188</v>
      </c>
      <c r="F100" s="14" t="s">
        <v>4800</v>
      </c>
      <c r="G100" s="15" t="s">
        <v>146</v>
      </c>
      <c r="H100" s="16" t="s">
        <v>67</v>
      </c>
      <c r="I100" s="16" t="s">
        <v>4796</v>
      </c>
      <c r="J100" s="17"/>
      <c r="K100" s="40" t="str">
        <f>"82,5"</f>
        <v>82,5</v>
      </c>
      <c r="L100" s="17" t="str">
        <f>"51,0551"</f>
        <v>51,0551</v>
      </c>
      <c r="M100" s="14" t="s">
        <v>4801</v>
      </c>
    </row>
    <row r="101" spans="1:13">
      <c r="A101" s="17" t="s">
        <v>75</v>
      </c>
      <c r="B101" s="14" t="s">
        <v>4802</v>
      </c>
      <c r="C101" s="14" t="s">
        <v>4803</v>
      </c>
      <c r="D101" s="14" t="s">
        <v>1118</v>
      </c>
      <c r="E101" s="14" t="str">
        <f>"0,6177"</f>
        <v>0,6177</v>
      </c>
      <c r="F101" s="14" t="s">
        <v>2513</v>
      </c>
      <c r="G101" s="15" t="s">
        <v>81</v>
      </c>
      <c r="H101" s="16" t="s">
        <v>4804</v>
      </c>
      <c r="I101" s="16" t="s">
        <v>4804</v>
      </c>
      <c r="J101" s="17"/>
      <c r="K101" s="40" t="str">
        <f>"80,0"</f>
        <v>80,0</v>
      </c>
      <c r="L101" s="17" t="str">
        <f>"49,4160"</f>
        <v>49,4160</v>
      </c>
      <c r="M101" s="14" t="s">
        <v>4805</v>
      </c>
    </row>
    <row r="102" spans="1:13">
      <c r="A102" s="17" t="s">
        <v>87</v>
      </c>
      <c r="B102" s="14" t="s">
        <v>1718</v>
      </c>
      <c r="C102" s="14" t="s">
        <v>1719</v>
      </c>
      <c r="D102" s="14" t="s">
        <v>1720</v>
      </c>
      <c r="E102" s="14" t="str">
        <f>"0,6251"</f>
        <v>0,6251</v>
      </c>
      <c r="F102" s="14" t="s">
        <v>1721</v>
      </c>
      <c r="G102" s="15" t="s">
        <v>33</v>
      </c>
      <c r="H102" s="15" t="s">
        <v>80</v>
      </c>
      <c r="I102" s="16" t="s">
        <v>146</v>
      </c>
      <c r="J102" s="17"/>
      <c r="K102" s="40" t="str">
        <f>"75,0"</f>
        <v>75,0</v>
      </c>
      <c r="L102" s="17" t="str">
        <f>"46,8825"</f>
        <v>46,8825</v>
      </c>
      <c r="M102" s="14" t="s">
        <v>1722</v>
      </c>
    </row>
    <row r="103" spans="1:13">
      <c r="A103" s="17" t="s">
        <v>168</v>
      </c>
      <c r="B103" s="14" t="s">
        <v>4806</v>
      </c>
      <c r="C103" s="14" t="s">
        <v>4807</v>
      </c>
      <c r="D103" s="14" t="s">
        <v>2041</v>
      </c>
      <c r="E103" s="14" t="str">
        <f>"0,6133"</f>
        <v>0,6133</v>
      </c>
      <c r="F103" s="14" t="s">
        <v>91</v>
      </c>
      <c r="G103" s="15" t="s">
        <v>33</v>
      </c>
      <c r="H103" s="16" t="s">
        <v>80</v>
      </c>
      <c r="I103" s="15" t="s">
        <v>80</v>
      </c>
      <c r="J103" s="17"/>
      <c r="K103" s="40" t="str">
        <f>"75,0"</f>
        <v>75,0</v>
      </c>
      <c r="L103" s="17" t="str">
        <f>"46,0012"</f>
        <v>46,0012</v>
      </c>
      <c r="M103" s="14" t="s">
        <v>158</v>
      </c>
    </row>
    <row r="104" spans="1:13">
      <c r="A104" s="17" t="s">
        <v>172</v>
      </c>
      <c r="B104" s="14" t="s">
        <v>4808</v>
      </c>
      <c r="C104" s="14" t="s">
        <v>4809</v>
      </c>
      <c r="D104" s="14" t="s">
        <v>1492</v>
      </c>
      <c r="E104" s="14" t="str">
        <f>"0,6141"</f>
        <v>0,6141</v>
      </c>
      <c r="F104" s="14" t="s">
        <v>1179</v>
      </c>
      <c r="G104" s="15" t="s">
        <v>32</v>
      </c>
      <c r="H104" s="15" t="s">
        <v>57</v>
      </c>
      <c r="I104" s="15" t="s">
        <v>140</v>
      </c>
      <c r="J104" s="17"/>
      <c r="K104" s="40" t="str">
        <f>"72,5"</f>
        <v>72,5</v>
      </c>
      <c r="L104" s="17" t="str">
        <f>"44,5259"</f>
        <v>44,5259</v>
      </c>
      <c r="M104" s="14" t="s">
        <v>158</v>
      </c>
    </row>
    <row r="105" spans="1:13">
      <c r="A105" s="17" t="s">
        <v>178</v>
      </c>
      <c r="B105" s="14" t="s">
        <v>3673</v>
      </c>
      <c r="C105" s="14" t="s">
        <v>3674</v>
      </c>
      <c r="D105" s="14" t="s">
        <v>1066</v>
      </c>
      <c r="E105" s="14" t="str">
        <f>"0,6209"</f>
        <v>0,6209</v>
      </c>
      <c r="F105" s="14" t="s">
        <v>134</v>
      </c>
      <c r="G105" s="15" t="s">
        <v>57</v>
      </c>
      <c r="H105" s="16" t="s">
        <v>140</v>
      </c>
      <c r="I105" s="16" t="s">
        <v>140</v>
      </c>
      <c r="J105" s="17"/>
      <c r="K105" s="40" t="str">
        <f>"67,5"</f>
        <v>67,5</v>
      </c>
      <c r="L105" s="17" t="str">
        <f>"41,9107"</f>
        <v>41,9107</v>
      </c>
      <c r="M105" s="14" t="s">
        <v>2258</v>
      </c>
    </row>
    <row r="106" spans="1:13">
      <c r="A106" s="17" t="s">
        <v>183</v>
      </c>
      <c r="B106" s="14" t="s">
        <v>4810</v>
      </c>
      <c r="C106" s="14" t="s">
        <v>4811</v>
      </c>
      <c r="D106" s="14" t="s">
        <v>4812</v>
      </c>
      <c r="E106" s="14" t="str">
        <f>"0,6286"</f>
        <v>0,6286</v>
      </c>
      <c r="F106" s="14" t="s">
        <v>299</v>
      </c>
      <c r="G106" s="15" t="s">
        <v>32</v>
      </c>
      <c r="H106" s="16" t="s">
        <v>140</v>
      </c>
      <c r="I106" s="16" t="s">
        <v>140</v>
      </c>
      <c r="J106" s="17"/>
      <c r="K106" s="40" t="str">
        <f>"65,0"</f>
        <v>65,0</v>
      </c>
      <c r="L106" s="17" t="str">
        <f>"40,8590"</f>
        <v>40,8590</v>
      </c>
      <c r="M106" s="14" t="s">
        <v>158</v>
      </c>
    </row>
    <row r="107" spans="1:13">
      <c r="A107" s="17" t="s">
        <v>186</v>
      </c>
      <c r="B107" s="14" t="s">
        <v>2680</v>
      </c>
      <c r="C107" s="14" t="s">
        <v>1945</v>
      </c>
      <c r="D107" s="14" t="s">
        <v>1085</v>
      </c>
      <c r="E107" s="14" t="str">
        <f>"0,6192"</f>
        <v>0,6192</v>
      </c>
      <c r="F107" s="14" t="s">
        <v>1697</v>
      </c>
      <c r="G107" s="15" t="s">
        <v>32</v>
      </c>
      <c r="H107" s="16" t="s">
        <v>80</v>
      </c>
      <c r="I107" s="16" t="s">
        <v>80</v>
      </c>
      <c r="J107" s="17"/>
      <c r="K107" s="40" t="str">
        <f>"65,0"</f>
        <v>65,0</v>
      </c>
      <c r="L107" s="17" t="str">
        <f>"40,2512"</f>
        <v>40,2512</v>
      </c>
      <c r="M107" s="14" t="s">
        <v>158</v>
      </c>
    </row>
    <row r="108" spans="1:13">
      <c r="A108" s="17" t="s">
        <v>556</v>
      </c>
      <c r="B108" s="14" t="s">
        <v>4813</v>
      </c>
      <c r="C108" s="14" t="s">
        <v>4814</v>
      </c>
      <c r="D108" s="14" t="s">
        <v>3999</v>
      </c>
      <c r="E108" s="14" t="str">
        <f>"0,6326"</f>
        <v>0,6326</v>
      </c>
      <c r="F108" s="14" t="s">
        <v>1131</v>
      </c>
      <c r="G108" s="15" t="s">
        <v>34</v>
      </c>
      <c r="H108" s="16" t="s">
        <v>48</v>
      </c>
      <c r="I108" s="17"/>
      <c r="J108" s="17"/>
      <c r="K108" s="40" t="str">
        <f>"52,5"</f>
        <v>52,5</v>
      </c>
      <c r="L108" s="17" t="str">
        <f>"33,2115"</f>
        <v>33,2115</v>
      </c>
      <c r="M108" s="14" t="s">
        <v>158</v>
      </c>
    </row>
    <row r="109" spans="1:13">
      <c r="A109" s="17" t="s">
        <v>15</v>
      </c>
      <c r="B109" s="14" t="s">
        <v>3201</v>
      </c>
      <c r="C109" s="14" t="s">
        <v>3202</v>
      </c>
      <c r="D109" s="14" t="s">
        <v>615</v>
      </c>
      <c r="E109" s="14" t="str">
        <f>"0,6230"</f>
        <v>0,6230</v>
      </c>
      <c r="F109" s="14" t="s">
        <v>2904</v>
      </c>
      <c r="G109" s="15" t="s">
        <v>80</v>
      </c>
      <c r="H109" s="15" t="s">
        <v>81</v>
      </c>
      <c r="I109" s="16" t="s">
        <v>146</v>
      </c>
      <c r="J109" s="17"/>
      <c r="K109" s="40" t="str">
        <f>"80,0"</f>
        <v>80,0</v>
      </c>
      <c r="L109" s="17" t="str">
        <f>"52,5812"</f>
        <v>52,5812</v>
      </c>
      <c r="M109" s="14" t="s">
        <v>158</v>
      </c>
    </row>
    <row r="110" spans="1:13">
      <c r="A110" s="17" t="s">
        <v>62</v>
      </c>
      <c r="B110" s="14" t="s">
        <v>4802</v>
      </c>
      <c r="C110" s="14" t="s">
        <v>4815</v>
      </c>
      <c r="D110" s="14" t="s">
        <v>1118</v>
      </c>
      <c r="E110" s="14" t="str">
        <f>"0,6177"</f>
        <v>0,6177</v>
      </c>
      <c r="F110" s="14" t="s">
        <v>2513</v>
      </c>
      <c r="G110" s="15" t="s">
        <v>81</v>
      </c>
      <c r="H110" s="16" t="s">
        <v>4804</v>
      </c>
      <c r="I110" s="16" t="s">
        <v>4804</v>
      </c>
      <c r="J110" s="17"/>
      <c r="K110" s="40" t="str">
        <f>"80,0"</f>
        <v>80,0</v>
      </c>
      <c r="L110" s="17" t="str">
        <f>"49,4160"</f>
        <v>49,4160</v>
      </c>
      <c r="M110" s="14" t="s">
        <v>4805</v>
      </c>
    </row>
    <row r="111" spans="1:13">
      <c r="A111" s="17" t="s">
        <v>15</v>
      </c>
      <c r="B111" s="14" t="s">
        <v>3611</v>
      </c>
      <c r="C111" s="14" t="s">
        <v>3617</v>
      </c>
      <c r="D111" s="14" t="s">
        <v>1736</v>
      </c>
      <c r="E111" s="14" t="str">
        <f>"0,6145"</f>
        <v>0,6145</v>
      </c>
      <c r="F111" s="14" t="s">
        <v>3613</v>
      </c>
      <c r="G111" s="15" t="s">
        <v>48</v>
      </c>
      <c r="H111" s="16" t="s">
        <v>57</v>
      </c>
      <c r="I111" s="15" t="s">
        <v>57</v>
      </c>
      <c r="J111" s="17"/>
      <c r="K111" s="40" t="str">
        <f>"67,5"</f>
        <v>67,5</v>
      </c>
      <c r="L111" s="17" t="str">
        <f>"47,5800"</f>
        <v>47,5800</v>
      </c>
      <c r="M111" s="14" t="s">
        <v>3614</v>
      </c>
    </row>
    <row r="112" spans="1:13">
      <c r="A112" s="20" t="s">
        <v>62</v>
      </c>
      <c r="B112" s="18" t="s">
        <v>4816</v>
      </c>
      <c r="C112" s="18" t="s">
        <v>4817</v>
      </c>
      <c r="D112" s="18" t="s">
        <v>615</v>
      </c>
      <c r="E112" s="18" t="str">
        <f>"0,6230"</f>
        <v>0,6230</v>
      </c>
      <c r="F112" s="18" t="s">
        <v>4818</v>
      </c>
      <c r="G112" s="22" t="s">
        <v>26</v>
      </c>
      <c r="H112" s="19" t="s">
        <v>26</v>
      </c>
      <c r="I112" s="22" t="s">
        <v>32</v>
      </c>
      <c r="J112" s="20"/>
      <c r="K112" s="38" t="str">
        <f>"60,0"</f>
        <v>60,0</v>
      </c>
      <c r="L112" s="20" t="str">
        <f>"42,8749"</f>
        <v>42,8749</v>
      </c>
      <c r="M112" s="18" t="s">
        <v>158</v>
      </c>
    </row>
    <row r="113" spans="1:13">
      <c r="B113" s="5" t="s">
        <v>40</v>
      </c>
    </row>
    <row r="114" spans="1:13" ht="15.95">
      <c r="A114" s="102" t="s">
        <v>670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</row>
    <row r="115" spans="1:13">
      <c r="A115" s="13" t="s">
        <v>15</v>
      </c>
      <c r="B115" s="11" t="s">
        <v>4819</v>
      </c>
      <c r="C115" s="11" t="s">
        <v>4820</v>
      </c>
      <c r="D115" s="11" t="s">
        <v>4821</v>
      </c>
      <c r="E115" s="11" t="str">
        <f>"0,6112"</f>
        <v>0,6112</v>
      </c>
      <c r="F115" s="11" t="s">
        <v>4822</v>
      </c>
      <c r="G115" s="12" t="s">
        <v>80</v>
      </c>
      <c r="H115" s="12" t="s">
        <v>81</v>
      </c>
      <c r="I115" s="12" t="s">
        <v>4823</v>
      </c>
      <c r="J115" s="21" t="s">
        <v>67</v>
      </c>
      <c r="K115" s="37" t="str">
        <f>"82,0"</f>
        <v>82,0</v>
      </c>
      <c r="L115" s="13" t="str">
        <f>"50,1143"</f>
        <v>50,1143</v>
      </c>
      <c r="M115" s="11" t="s">
        <v>158</v>
      </c>
    </row>
    <row r="116" spans="1:13">
      <c r="A116" s="17" t="s">
        <v>15</v>
      </c>
      <c r="B116" s="14" t="s">
        <v>4824</v>
      </c>
      <c r="C116" s="14" t="s">
        <v>4825</v>
      </c>
      <c r="D116" s="14" t="s">
        <v>2795</v>
      </c>
      <c r="E116" s="14" t="str">
        <f>"0,5889"</f>
        <v>0,5889</v>
      </c>
      <c r="F116" s="14" t="s">
        <v>2071</v>
      </c>
      <c r="G116" s="15" t="s">
        <v>37</v>
      </c>
      <c r="H116" s="15" t="s">
        <v>38</v>
      </c>
      <c r="I116" s="16" t="s">
        <v>46</v>
      </c>
      <c r="J116" s="17"/>
      <c r="K116" s="40" t="str">
        <f>"100,0"</f>
        <v>100,0</v>
      </c>
      <c r="L116" s="17" t="str">
        <f>"58,8850"</f>
        <v>58,8850</v>
      </c>
      <c r="M116" s="14" t="s">
        <v>4826</v>
      </c>
    </row>
    <row r="117" spans="1:13">
      <c r="A117" s="17" t="s">
        <v>62</v>
      </c>
      <c r="B117" s="14" t="s">
        <v>4827</v>
      </c>
      <c r="C117" s="14" t="s">
        <v>4828</v>
      </c>
      <c r="D117" s="14" t="s">
        <v>686</v>
      </c>
      <c r="E117" s="14" t="str">
        <f>"0,5840"</f>
        <v>0,5840</v>
      </c>
      <c r="F117" s="14" t="s">
        <v>227</v>
      </c>
      <c r="G117" s="15" t="s">
        <v>146</v>
      </c>
      <c r="H117" s="16" t="s">
        <v>120</v>
      </c>
      <c r="I117" s="15" t="s">
        <v>120</v>
      </c>
      <c r="J117" s="16" t="s">
        <v>4829</v>
      </c>
      <c r="K117" s="40" t="str">
        <f>"87,5"</f>
        <v>87,5</v>
      </c>
      <c r="L117" s="17" t="str">
        <f>"51,1044"</f>
        <v>51,1044</v>
      </c>
      <c r="M117" s="14" t="s">
        <v>158</v>
      </c>
    </row>
    <row r="118" spans="1:13">
      <c r="A118" s="17" t="s">
        <v>73</v>
      </c>
      <c r="B118" s="14" t="s">
        <v>4830</v>
      </c>
      <c r="C118" s="14" t="s">
        <v>4831</v>
      </c>
      <c r="D118" s="14" t="s">
        <v>677</v>
      </c>
      <c r="E118" s="14" t="str">
        <f>"0,5825"</f>
        <v>0,5825</v>
      </c>
      <c r="F118" s="14" t="s">
        <v>4832</v>
      </c>
      <c r="G118" s="16" t="s">
        <v>26</v>
      </c>
      <c r="H118" s="15" t="s">
        <v>33</v>
      </c>
      <c r="I118" s="16" t="s">
        <v>4833</v>
      </c>
      <c r="J118" s="17"/>
      <c r="K118" s="40" t="str">
        <f>"70,0"</f>
        <v>70,0</v>
      </c>
      <c r="L118" s="17" t="str">
        <f>"40,7785"</f>
        <v>40,7785</v>
      </c>
      <c r="M118" s="14" t="s">
        <v>158</v>
      </c>
    </row>
    <row r="119" spans="1:13">
      <c r="A119" s="17" t="s">
        <v>15</v>
      </c>
      <c r="B119" s="14" t="s">
        <v>1839</v>
      </c>
      <c r="C119" s="14" t="s">
        <v>1840</v>
      </c>
      <c r="D119" s="14" t="s">
        <v>1201</v>
      </c>
      <c r="E119" s="14" t="str">
        <f>"0,5853"</f>
        <v>0,5853</v>
      </c>
      <c r="F119" s="14" t="s">
        <v>1841</v>
      </c>
      <c r="G119" s="15" t="s">
        <v>81</v>
      </c>
      <c r="H119" s="15" t="s">
        <v>4834</v>
      </c>
      <c r="I119" s="15" t="s">
        <v>4835</v>
      </c>
      <c r="J119" s="17"/>
      <c r="K119" s="40" t="str">
        <f>"88,0"</f>
        <v>88,0</v>
      </c>
      <c r="L119" s="17" t="str">
        <f>"52,0259"</f>
        <v>52,0259</v>
      </c>
      <c r="M119" s="14" t="s">
        <v>1842</v>
      </c>
    </row>
    <row r="120" spans="1:13">
      <c r="A120" s="17" t="s">
        <v>62</v>
      </c>
      <c r="B120" s="14" t="s">
        <v>4836</v>
      </c>
      <c r="C120" s="14" t="s">
        <v>4837</v>
      </c>
      <c r="D120" s="14" t="s">
        <v>2146</v>
      </c>
      <c r="E120" s="14" t="str">
        <f>"0,5828"</f>
        <v>0,5828</v>
      </c>
      <c r="F120" s="14" t="s">
        <v>2513</v>
      </c>
      <c r="G120" s="15" t="s">
        <v>81</v>
      </c>
      <c r="H120" s="15" t="s">
        <v>4838</v>
      </c>
      <c r="I120" s="16" t="s">
        <v>4796</v>
      </c>
      <c r="J120" s="17"/>
      <c r="K120" s="40" t="str">
        <f>"83,0"</f>
        <v>83,0</v>
      </c>
      <c r="L120" s="17" t="str">
        <f>"50,4524"</f>
        <v>50,4524</v>
      </c>
      <c r="M120" s="14" t="s">
        <v>158</v>
      </c>
    </row>
    <row r="121" spans="1:13">
      <c r="A121" s="17" t="s">
        <v>73</v>
      </c>
      <c r="B121" s="14" t="s">
        <v>4839</v>
      </c>
      <c r="C121" s="14" t="s">
        <v>4840</v>
      </c>
      <c r="D121" s="14" t="s">
        <v>4821</v>
      </c>
      <c r="E121" s="14" t="str">
        <f>"0,6112"</f>
        <v>0,6112</v>
      </c>
      <c r="F121" s="14" t="s">
        <v>91</v>
      </c>
      <c r="G121" s="15" t="s">
        <v>33</v>
      </c>
      <c r="H121" s="16" t="s">
        <v>81</v>
      </c>
      <c r="I121" s="16" t="s">
        <v>4838</v>
      </c>
      <c r="J121" s="17"/>
      <c r="K121" s="40" t="str">
        <f>"70,0"</f>
        <v>70,0</v>
      </c>
      <c r="L121" s="17" t="str">
        <f>"43,2083"</f>
        <v>43,2083</v>
      </c>
      <c r="M121" s="14" t="s">
        <v>158</v>
      </c>
    </row>
    <row r="122" spans="1:13">
      <c r="A122" s="20" t="s">
        <v>15</v>
      </c>
      <c r="B122" s="18" t="s">
        <v>4841</v>
      </c>
      <c r="C122" s="18" t="s">
        <v>4842</v>
      </c>
      <c r="D122" s="18" t="s">
        <v>2161</v>
      </c>
      <c r="E122" s="18" t="str">
        <f>"0,5987"</f>
        <v>0,5987</v>
      </c>
      <c r="F122" s="18" t="s">
        <v>2177</v>
      </c>
      <c r="G122" s="22" t="s">
        <v>34</v>
      </c>
      <c r="H122" s="19" t="s">
        <v>35</v>
      </c>
      <c r="I122" s="19" t="s">
        <v>26</v>
      </c>
      <c r="J122" s="22" t="s">
        <v>48</v>
      </c>
      <c r="K122" s="38" t="str">
        <f>"60,0"</f>
        <v>60,0</v>
      </c>
      <c r="L122" s="20" t="str">
        <f>"60,3849"</f>
        <v>60,3849</v>
      </c>
      <c r="M122" s="18" t="s">
        <v>158</v>
      </c>
    </row>
    <row r="123" spans="1:13">
      <c r="B123" s="5" t="s">
        <v>40</v>
      </c>
    </row>
    <row r="124" spans="1:13" ht="15.95">
      <c r="A124" s="102" t="s">
        <v>724</v>
      </c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</row>
    <row r="125" spans="1:13">
      <c r="A125" s="13" t="s">
        <v>15</v>
      </c>
      <c r="B125" s="11" t="s">
        <v>2854</v>
      </c>
      <c r="C125" s="11" t="s">
        <v>2855</v>
      </c>
      <c r="D125" s="11" t="s">
        <v>3328</v>
      </c>
      <c r="E125" s="11" t="str">
        <f>"0,5724"</f>
        <v>0,5724</v>
      </c>
      <c r="F125" s="11" t="s">
        <v>602</v>
      </c>
      <c r="G125" s="12" t="s">
        <v>81</v>
      </c>
      <c r="H125" s="12" t="s">
        <v>146</v>
      </c>
      <c r="I125" s="12" t="s">
        <v>67</v>
      </c>
      <c r="J125" s="13"/>
      <c r="K125" s="37" t="str">
        <f>"85,0"</f>
        <v>85,0</v>
      </c>
      <c r="L125" s="13" t="str">
        <f>"48,6540"</f>
        <v>48,6540</v>
      </c>
      <c r="M125" s="11" t="s">
        <v>158</v>
      </c>
    </row>
    <row r="126" spans="1:13">
      <c r="A126" s="17" t="s">
        <v>62</v>
      </c>
      <c r="B126" s="14" t="s">
        <v>4843</v>
      </c>
      <c r="C126" s="14" t="s">
        <v>4844</v>
      </c>
      <c r="D126" s="14" t="s">
        <v>1862</v>
      </c>
      <c r="E126" s="14" t="str">
        <f>"0,5710"</f>
        <v>0,5710</v>
      </c>
      <c r="F126" s="14" t="s">
        <v>1897</v>
      </c>
      <c r="G126" s="15" t="s">
        <v>80</v>
      </c>
      <c r="H126" s="15" t="s">
        <v>81</v>
      </c>
      <c r="I126" s="15" t="s">
        <v>146</v>
      </c>
      <c r="J126" s="17"/>
      <c r="K126" s="40" t="str">
        <f>"82,5"</f>
        <v>82,5</v>
      </c>
      <c r="L126" s="17" t="str">
        <f>"47,1116"</f>
        <v>47,1116</v>
      </c>
      <c r="M126" s="14" t="s">
        <v>158</v>
      </c>
    </row>
    <row r="127" spans="1:13">
      <c r="A127" s="17" t="s">
        <v>73</v>
      </c>
      <c r="B127" s="14" t="s">
        <v>2256</v>
      </c>
      <c r="C127" s="14" t="s">
        <v>2257</v>
      </c>
      <c r="D127" s="14" t="s">
        <v>1847</v>
      </c>
      <c r="E127" s="14" t="str">
        <f>"0,5688"</f>
        <v>0,5688</v>
      </c>
      <c r="F127" s="14" t="s">
        <v>134</v>
      </c>
      <c r="G127" s="15" t="s">
        <v>80</v>
      </c>
      <c r="H127" s="16" t="s">
        <v>146</v>
      </c>
      <c r="I127" s="16" t="s">
        <v>67</v>
      </c>
      <c r="J127" s="17"/>
      <c r="K127" s="40" t="str">
        <f>"75,0"</f>
        <v>75,0</v>
      </c>
      <c r="L127" s="17" t="str">
        <f>"42,6637"</f>
        <v>42,6637</v>
      </c>
      <c r="M127" s="14" t="s">
        <v>2258</v>
      </c>
    </row>
    <row r="128" spans="1:13">
      <c r="A128" s="17" t="s">
        <v>75</v>
      </c>
      <c r="B128" s="14" t="s">
        <v>1267</v>
      </c>
      <c r="C128" s="14" t="s">
        <v>1268</v>
      </c>
      <c r="D128" s="14" t="s">
        <v>3339</v>
      </c>
      <c r="E128" s="14" t="str">
        <f>"0,5634"</f>
        <v>0,5634</v>
      </c>
      <c r="F128" s="14" t="s">
        <v>1265</v>
      </c>
      <c r="G128" s="15" t="s">
        <v>80</v>
      </c>
      <c r="H128" s="16" t="s">
        <v>81</v>
      </c>
      <c r="I128" s="16" t="s">
        <v>146</v>
      </c>
      <c r="J128" s="17"/>
      <c r="K128" s="40" t="str">
        <f>"75,0"</f>
        <v>75,0</v>
      </c>
      <c r="L128" s="17" t="str">
        <f>"42,2513"</f>
        <v>42,2513</v>
      </c>
      <c r="M128" s="14" t="s">
        <v>1266</v>
      </c>
    </row>
    <row r="129" spans="1:13">
      <c r="A129" s="17" t="s">
        <v>87</v>
      </c>
      <c r="B129" s="14" t="s">
        <v>4396</v>
      </c>
      <c r="C129" s="14" t="s">
        <v>4397</v>
      </c>
      <c r="D129" s="14" t="s">
        <v>727</v>
      </c>
      <c r="E129" s="14" t="str">
        <f>"0,5774"</f>
        <v>0,5774</v>
      </c>
      <c r="F129" s="14" t="s">
        <v>262</v>
      </c>
      <c r="G129" s="15" t="s">
        <v>140</v>
      </c>
      <c r="H129" s="16" t="s">
        <v>146</v>
      </c>
      <c r="I129" s="16" t="s">
        <v>146</v>
      </c>
      <c r="J129" s="17"/>
      <c r="K129" s="40" t="str">
        <f>"72,5"</f>
        <v>72,5</v>
      </c>
      <c r="L129" s="17" t="str">
        <f>"41,8615"</f>
        <v>41,8615</v>
      </c>
      <c r="M129" s="14" t="s">
        <v>4398</v>
      </c>
    </row>
    <row r="130" spans="1:13">
      <c r="A130" s="17" t="s">
        <v>168</v>
      </c>
      <c r="B130" s="14" t="s">
        <v>2876</v>
      </c>
      <c r="C130" s="14" t="s">
        <v>2877</v>
      </c>
      <c r="D130" s="14" t="s">
        <v>4845</v>
      </c>
      <c r="E130" s="14" t="str">
        <f>"0,5709"</f>
        <v>0,5709</v>
      </c>
      <c r="F130" s="14" t="s">
        <v>2878</v>
      </c>
      <c r="G130" s="15" t="s">
        <v>32</v>
      </c>
      <c r="H130" s="15" t="s">
        <v>140</v>
      </c>
      <c r="I130" s="16" t="s">
        <v>104</v>
      </c>
      <c r="J130" s="17"/>
      <c r="K130" s="40" t="str">
        <f>"72,5"</f>
        <v>72,5</v>
      </c>
      <c r="L130" s="17" t="str">
        <f>"41,3866"</f>
        <v>41,3866</v>
      </c>
      <c r="M130" s="14" t="s">
        <v>158</v>
      </c>
    </row>
    <row r="131" spans="1:13">
      <c r="A131" s="17" t="s">
        <v>15</v>
      </c>
      <c r="B131" s="14" t="s">
        <v>4846</v>
      </c>
      <c r="C131" s="14" t="s">
        <v>4847</v>
      </c>
      <c r="D131" s="14" t="s">
        <v>4211</v>
      </c>
      <c r="E131" s="14" t="str">
        <f>"0,5701"</f>
        <v>0,5701</v>
      </c>
      <c r="F131" s="14" t="s">
        <v>4848</v>
      </c>
      <c r="G131" s="15" t="s">
        <v>26</v>
      </c>
      <c r="H131" s="15" t="s">
        <v>48</v>
      </c>
      <c r="I131" s="15" t="s">
        <v>32</v>
      </c>
      <c r="J131" s="17"/>
      <c r="K131" s="40" t="str">
        <f>"65,0"</f>
        <v>65,0</v>
      </c>
      <c r="L131" s="17" t="str">
        <f>"41,2439"</f>
        <v>41,2439</v>
      </c>
      <c r="M131" s="14" t="s">
        <v>158</v>
      </c>
    </row>
    <row r="132" spans="1:13">
      <c r="A132" s="17" t="s">
        <v>62</v>
      </c>
      <c r="B132" s="14" t="s">
        <v>774</v>
      </c>
      <c r="C132" s="14" t="s">
        <v>775</v>
      </c>
      <c r="D132" s="14" t="s">
        <v>776</v>
      </c>
      <c r="E132" s="14" t="str">
        <f>"0,5647"</f>
        <v>0,5647</v>
      </c>
      <c r="F132" s="14" t="s">
        <v>602</v>
      </c>
      <c r="G132" s="15" t="s">
        <v>103</v>
      </c>
      <c r="H132" s="16" t="s">
        <v>26</v>
      </c>
      <c r="I132" s="17" t="s">
        <v>4344</v>
      </c>
      <c r="J132" s="17"/>
      <c r="K132" s="40" t="str">
        <f>"50,0"</f>
        <v>50,0</v>
      </c>
      <c r="L132" s="17" t="str">
        <f>"29,4491"</f>
        <v>29,4491</v>
      </c>
      <c r="M132" s="14" t="s">
        <v>158</v>
      </c>
    </row>
    <row r="133" spans="1:13">
      <c r="A133" s="20" t="s">
        <v>15</v>
      </c>
      <c r="B133" s="18" t="s">
        <v>3413</v>
      </c>
      <c r="C133" s="18" t="s">
        <v>3414</v>
      </c>
      <c r="D133" s="18" t="s">
        <v>1881</v>
      </c>
      <c r="E133" s="18" t="str">
        <f>"0,5706"</f>
        <v>0,5706</v>
      </c>
      <c r="F133" s="18" t="s">
        <v>3415</v>
      </c>
      <c r="G133" s="19" t="s">
        <v>26</v>
      </c>
      <c r="H133" s="19" t="s">
        <v>4849</v>
      </c>
      <c r="I133" s="19" t="s">
        <v>140</v>
      </c>
      <c r="J133" s="20"/>
      <c r="K133" s="38" t="str">
        <f>"72,5"</f>
        <v>72,5</v>
      </c>
      <c r="L133" s="20" t="str">
        <f>"47,4538"</f>
        <v>47,4538</v>
      </c>
      <c r="M133" s="18" t="s">
        <v>3416</v>
      </c>
    </row>
    <row r="134" spans="1:13">
      <c r="B134" s="5" t="s">
        <v>40</v>
      </c>
    </row>
    <row r="135" spans="1:13" ht="15.95">
      <c r="A135" s="102" t="s">
        <v>783</v>
      </c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</row>
    <row r="136" spans="1:13">
      <c r="A136" s="13" t="s">
        <v>15</v>
      </c>
      <c r="B136" s="11" t="s">
        <v>4850</v>
      </c>
      <c r="C136" s="11" t="s">
        <v>2612</v>
      </c>
      <c r="D136" s="11" t="s">
        <v>2187</v>
      </c>
      <c r="E136" s="11" t="str">
        <f>"0,5556"</f>
        <v>0,5556</v>
      </c>
      <c r="F136" s="11" t="s">
        <v>4851</v>
      </c>
      <c r="G136" s="12" t="s">
        <v>46</v>
      </c>
      <c r="H136" s="12" t="s">
        <v>49</v>
      </c>
      <c r="I136" s="21" t="s">
        <v>47</v>
      </c>
      <c r="J136" s="13"/>
      <c r="K136" s="37" t="str">
        <f>"105,0"</f>
        <v>105,0</v>
      </c>
      <c r="L136" s="13" t="str">
        <f>"58,3380"</f>
        <v>58,3380</v>
      </c>
      <c r="M136" s="11" t="s">
        <v>158</v>
      </c>
    </row>
    <row r="137" spans="1:13">
      <c r="A137" s="17" t="s">
        <v>62</v>
      </c>
      <c r="B137" s="14" t="s">
        <v>4852</v>
      </c>
      <c r="C137" s="14" t="s">
        <v>4853</v>
      </c>
      <c r="D137" s="14" t="s">
        <v>4854</v>
      </c>
      <c r="E137" s="14" t="str">
        <f>"0,5505"</f>
        <v>0,5505</v>
      </c>
      <c r="F137" s="14" t="s">
        <v>91</v>
      </c>
      <c r="G137" s="15" t="s">
        <v>110</v>
      </c>
      <c r="H137" s="15" t="s">
        <v>38</v>
      </c>
      <c r="I137" s="16" t="s">
        <v>2350</v>
      </c>
      <c r="J137" s="17"/>
      <c r="K137" s="40" t="str">
        <f>"100,0"</f>
        <v>100,0</v>
      </c>
      <c r="L137" s="17" t="str">
        <f>"55,0450"</f>
        <v>55,0450</v>
      </c>
      <c r="M137" s="14" t="s">
        <v>158</v>
      </c>
    </row>
    <row r="138" spans="1:13">
      <c r="A138" s="17" t="s">
        <v>73</v>
      </c>
      <c r="B138" s="14" t="s">
        <v>2932</v>
      </c>
      <c r="C138" s="14" t="s">
        <v>2933</v>
      </c>
      <c r="D138" s="14" t="s">
        <v>1553</v>
      </c>
      <c r="E138" s="14" t="str">
        <f>"0,5535"</f>
        <v>0,5535</v>
      </c>
      <c r="F138" s="14" t="s">
        <v>66</v>
      </c>
      <c r="G138" s="15" t="s">
        <v>36</v>
      </c>
      <c r="H138" s="15" t="s">
        <v>37</v>
      </c>
      <c r="I138" s="16" t="s">
        <v>4855</v>
      </c>
      <c r="J138" s="17"/>
      <c r="K138" s="40" t="str">
        <f>"95,0"</f>
        <v>95,0</v>
      </c>
      <c r="L138" s="17" t="str">
        <f>"52,5825"</f>
        <v>52,5825</v>
      </c>
      <c r="M138" s="14" t="s">
        <v>2198</v>
      </c>
    </row>
    <row r="139" spans="1:13">
      <c r="A139" s="17" t="s">
        <v>75</v>
      </c>
      <c r="B139" s="14" t="s">
        <v>4856</v>
      </c>
      <c r="C139" s="14" t="s">
        <v>4857</v>
      </c>
      <c r="D139" s="14" t="s">
        <v>3701</v>
      </c>
      <c r="E139" s="14" t="str">
        <f>"0,5501"</f>
        <v>0,5501</v>
      </c>
      <c r="F139" s="14" t="s">
        <v>1238</v>
      </c>
      <c r="G139" s="15" t="s">
        <v>36</v>
      </c>
      <c r="H139" s="15" t="s">
        <v>37</v>
      </c>
      <c r="I139" s="16" t="s">
        <v>46</v>
      </c>
      <c r="J139" s="17"/>
      <c r="K139" s="40" t="str">
        <f>"95,0"</f>
        <v>95,0</v>
      </c>
      <c r="L139" s="17" t="str">
        <f>"52,2595"</f>
        <v>52,2595</v>
      </c>
      <c r="M139" s="14" t="s">
        <v>4858</v>
      </c>
    </row>
    <row r="140" spans="1:13">
      <c r="A140" s="17" t="s">
        <v>87</v>
      </c>
      <c r="B140" s="14" t="s">
        <v>4859</v>
      </c>
      <c r="C140" s="14" t="s">
        <v>4860</v>
      </c>
      <c r="D140" s="14" t="s">
        <v>3444</v>
      </c>
      <c r="E140" s="14" t="str">
        <f>"0,5499"</f>
        <v>0,5499</v>
      </c>
      <c r="F140" s="14" t="s">
        <v>222</v>
      </c>
      <c r="G140" s="15" t="s">
        <v>68</v>
      </c>
      <c r="H140" s="16" t="s">
        <v>110</v>
      </c>
      <c r="I140" s="16" t="s">
        <v>110</v>
      </c>
      <c r="J140" s="17"/>
      <c r="K140" s="40" t="str">
        <f>"92,5"</f>
        <v>92,5</v>
      </c>
      <c r="L140" s="17" t="str">
        <f>"50,8657"</f>
        <v>50,8657</v>
      </c>
      <c r="M140" s="14" t="s">
        <v>4861</v>
      </c>
    </row>
    <row r="141" spans="1:13">
      <c r="A141" s="17" t="s">
        <v>92</v>
      </c>
      <c r="B141" s="14" t="s">
        <v>4862</v>
      </c>
      <c r="C141" s="14" t="s">
        <v>3468</v>
      </c>
      <c r="D141" s="14" t="s">
        <v>4434</v>
      </c>
      <c r="E141" s="14" t="str">
        <f>"0,5580"</f>
        <v>0,5580</v>
      </c>
      <c r="F141" s="14" t="s">
        <v>4863</v>
      </c>
      <c r="G141" s="16" t="s">
        <v>49</v>
      </c>
      <c r="H141" s="16" t="s">
        <v>4864</v>
      </c>
      <c r="I141" s="16" t="s">
        <v>4864</v>
      </c>
      <c r="J141" s="17"/>
      <c r="K141" s="40">
        <v>0</v>
      </c>
      <c r="L141" s="17" t="str">
        <f>"0,0000"</f>
        <v>0,0000</v>
      </c>
      <c r="M141" s="14" t="s">
        <v>158</v>
      </c>
    </row>
    <row r="142" spans="1:13">
      <c r="A142" s="20" t="s">
        <v>92</v>
      </c>
      <c r="B142" s="18" t="s">
        <v>4865</v>
      </c>
      <c r="C142" s="18" t="s">
        <v>4866</v>
      </c>
      <c r="D142" s="18" t="s">
        <v>2947</v>
      </c>
      <c r="E142" s="18" t="str">
        <f>"0,5560"</f>
        <v>0,5560</v>
      </c>
      <c r="F142" s="18" t="s">
        <v>798</v>
      </c>
      <c r="G142" s="22" t="s">
        <v>81</v>
      </c>
      <c r="H142" s="22" t="s">
        <v>36</v>
      </c>
      <c r="I142" s="22" t="s">
        <v>37</v>
      </c>
      <c r="J142" s="20"/>
      <c r="K142" s="38">
        <v>0</v>
      </c>
      <c r="L142" s="20" t="str">
        <f>"0,0000"</f>
        <v>0,0000</v>
      </c>
      <c r="M142" s="18" t="s">
        <v>4867</v>
      </c>
    </row>
    <row r="143" spans="1:13">
      <c r="B143" s="5" t="s">
        <v>40</v>
      </c>
    </row>
    <row r="144" spans="1:13" ht="15.95">
      <c r="A144" s="102" t="s">
        <v>794</v>
      </c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</row>
    <row r="145" spans="1:13">
      <c r="A145" s="13" t="s">
        <v>15</v>
      </c>
      <c r="B145" s="11" t="s">
        <v>3703</v>
      </c>
      <c r="C145" s="11" t="s">
        <v>4868</v>
      </c>
      <c r="D145" s="11" t="s">
        <v>3705</v>
      </c>
      <c r="E145" s="11" t="str">
        <f>"0,5454"</f>
        <v>0,5454</v>
      </c>
      <c r="F145" s="11" t="s">
        <v>364</v>
      </c>
      <c r="G145" s="12" t="s">
        <v>38</v>
      </c>
      <c r="H145" s="12" t="s">
        <v>49</v>
      </c>
      <c r="I145" s="12" t="s">
        <v>4869</v>
      </c>
      <c r="J145" s="12" t="s">
        <v>4870</v>
      </c>
      <c r="K145" s="37" t="str">
        <f>"107,0"</f>
        <v>107,0</v>
      </c>
      <c r="L145" s="13" t="str">
        <f>"58,3535"</f>
        <v>58,3535</v>
      </c>
      <c r="M145" s="11" t="s">
        <v>158</v>
      </c>
    </row>
    <row r="146" spans="1:13">
      <c r="A146" s="17" t="s">
        <v>15</v>
      </c>
      <c r="B146" s="14" t="s">
        <v>3703</v>
      </c>
      <c r="C146" s="14" t="s">
        <v>3706</v>
      </c>
      <c r="D146" s="14" t="s">
        <v>3705</v>
      </c>
      <c r="E146" s="14" t="str">
        <f>"0,5454"</f>
        <v>0,5454</v>
      </c>
      <c r="F146" s="14" t="s">
        <v>364</v>
      </c>
      <c r="G146" s="15" t="s">
        <v>38</v>
      </c>
      <c r="H146" s="15" t="s">
        <v>49</v>
      </c>
      <c r="I146" s="15" t="s">
        <v>4869</v>
      </c>
      <c r="J146" s="15" t="s">
        <v>4870</v>
      </c>
      <c r="K146" s="40" t="str">
        <f>"107,0"</f>
        <v>107,0</v>
      </c>
      <c r="L146" s="17" t="str">
        <f>"58,3535"</f>
        <v>58,3535</v>
      </c>
      <c r="M146" s="14" t="s">
        <v>158</v>
      </c>
    </row>
    <row r="147" spans="1:13">
      <c r="A147" s="17" t="s">
        <v>62</v>
      </c>
      <c r="B147" s="14" t="s">
        <v>4871</v>
      </c>
      <c r="C147" s="14" t="s">
        <v>4872</v>
      </c>
      <c r="D147" s="14" t="s">
        <v>4873</v>
      </c>
      <c r="E147" s="14" t="str">
        <f>"0,5433"</f>
        <v>0,5433</v>
      </c>
      <c r="F147" s="14" t="s">
        <v>1279</v>
      </c>
      <c r="G147" s="16" t="s">
        <v>38</v>
      </c>
      <c r="H147" s="15" t="s">
        <v>46</v>
      </c>
      <c r="I147" s="16" t="s">
        <v>47</v>
      </c>
      <c r="J147" s="17"/>
      <c r="K147" s="40" t="str">
        <f>"102,5"</f>
        <v>102,5</v>
      </c>
      <c r="L147" s="17" t="str">
        <f>"55,6841"</f>
        <v>55,6841</v>
      </c>
      <c r="M147" s="14" t="s">
        <v>158</v>
      </c>
    </row>
    <row r="148" spans="1:13">
      <c r="A148" s="20" t="s">
        <v>73</v>
      </c>
      <c r="B148" s="18" t="s">
        <v>4874</v>
      </c>
      <c r="C148" s="18" t="s">
        <v>4875</v>
      </c>
      <c r="D148" s="18" t="s">
        <v>3705</v>
      </c>
      <c r="E148" s="18" t="str">
        <f>"0,5454"</f>
        <v>0,5454</v>
      </c>
      <c r="F148" s="18" t="s">
        <v>720</v>
      </c>
      <c r="G148" s="19" t="s">
        <v>33</v>
      </c>
      <c r="H148" s="19" t="s">
        <v>80</v>
      </c>
      <c r="I148" s="19" t="s">
        <v>81</v>
      </c>
      <c r="J148" s="20"/>
      <c r="K148" s="38" t="str">
        <f>"80,0"</f>
        <v>80,0</v>
      </c>
      <c r="L148" s="20" t="str">
        <f>"43,6288"</f>
        <v>43,6288</v>
      </c>
      <c r="M148" s="18" t="s">
        <v>158</v>
      </c>
    </row>
    <row r="149" spans="1:13">
      <c r="B149" s="5" t="s">
        <v>40</v>
      </c>
    </row>
    <row r="150" spans="1:13" ht="15.95">
      <c r="A150" s="102" t="s">
        <v>818</v>
      </c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</row>
    <row r="151" spans="1:13">
      <c r="A151" s="10" t="s">
        <v>15</v>
      </c>
      <c r="B151" s="7" t="s">
        <v>825</v>
      </c>
      <c r="C151" s="7" t="s">
        <v>826</v>
      </c>
      <c r="D151" s="7" t="s">
        <v>4876</v>
      </c>
      <c r="E151" s="7" t="str">
        <f>"0,5129"</f>
        <v>0,5129</v>
      </c>
      <c r="F151" s="7" t="s">
        <v>828</v>
      </c>
      <c r="G151" s="8" t="s">
        <v>146</v>
      </c>
      <c r="H151" s="9" t="s">
        <v>120</v>
      </c>
      <c r="I151" s="9" t="s">
        <v>36</v>
      </c>
      <c r="J151" s="10"/>
      <c r="K151" s="41" t="str">
        <f>"82,5"</f>
        <v>82,5</v>
      </c>
      <c r="L151" s="10" t="str">
        <f>"42,3171"</f>
        <v>42,3171</v>
      </c>
      <c r="M151" s="7" t="s">
        <v>829</v>
      </c>
    </row>
    <row r="152" spans="1:13">
      <c r="B152" s="5" t="s">
        <v>40</v>
      </c>
    </row>
    <row r="155" spans="1:13" ht="18">
      <c r="B155" s="23" t="s">
        <v>830</v>
      </c>
      <c r="C155" s="23"/>
    </row>
    <row r="156" spans="1:13" ht="15.95">
      <c r="B156" s="95" t="s">
        <v>831</v>
      </c>
      <c r="C156" s="95"/>
    </row>
    <row r="157" spans="1:13" ht="14.1">
      <c r="B157" s="24"/>
      <c r="C157" s="24" t="s">
        <v>832</v>
      </c>
    </row>
    <row r="158" spans="1:13" ht="14.1">
      <c r="B158" s="4" t="s">
        <v>833</v>
      </c>
      <c r="C158" s="4" t="s">
        <v>834</v>
      </c>
      <c r="D158" s="4" t="s">
        <v>835</v>
      </c>
      <c r="E158" s="4" t="s">
        <v>2294</v>
      </c>
      <c r="F158" s="4" t="s">
        <v>3650</v>
      </c>
    </row>
    <row r="159" spans="1:13">
      <c r="B159" s="5" t="s">
        <v>4672</v>
      </c>
      <c r="C159" s="5" t="s">
        <v>832</v>
      </c>
      <c r="D159" s="6" t="s">
        <v>841</v>
      </c>
      <c r="E159" s="6" t="s">
        <v>22</v>
      </c>
      <c r="F159" s="6" t="s">
        <v>4877</v>
      </c>
    </row>
    <row r="160" spans="1:13">
      <c r="B160" s="5" t="s">
        <v>51</v>
      </c>
      <c r="C160" s="5" t="s">
        <v>832</v>
      </c>
      <c r="D160" s="6" t="s">
        <v>838</v>
      </c>
      <c r="E160" s="6" t="s">
        <v>135</v>
      </c>
      <c r="F160" s="6" t="s">
        <v>4878</v>
      </c>
    </row>
    <row r="161" spans="2:6">
      <c r="B161" s="5" t="s">
        <v>3032</v>
      </c>
      <c r="C161" s="5" t="s">
        <v>832</v>
      </c>
      <c r="D161" s="6" t="s">
        <v>4879</v>
      </c>
      <c r="E161" s="6" t="s">
        <v>4669</v>
      </c>
      <c r="F161" s="6" t="s">
        <v>4880</v>
      </c>
    </row>
    <row r="163" spans="2:6" ht="15.95">
      <c r="B163" s="95" t="s">
        <v>855</v>
      </c>
      <c r="C163" s="95"/>
    </row>
    <row r="164" spans="2:6" ht="14.1">
      <c r="B164" s="24"/>
      <c r="C164" s="24" t="s">
        <v>856</v>
      </c>
    </row>
    <row r="165" spans="2:6" ht="14.1">
      <c r="B165" s="4" t="s">
        <v>833</v>
      </c>
      <c r="C165" s="4" t="s">
        <v>834</v>
      </c>
      <c r="D165" s="4" t="s">
        <v>835</v>
      </c>
      <c r="E165" s="4" t="s">
        <v>2294</v>
      </c>
      <c r="F165" s="4" t="s">
        <v>3650</v>
      </c>
    </row>
    <row r="166" spans="2:6">
      <c r="B166" s="5" t="s">
        <v>2435</v>
      </c>
      <c r="C166" s="5" t="s">
        <v>4881</v>
      </c>
      <c r="D166" s="6" t="s">
        <v>844</v>
      </c>
      <c r="E166" s="6" t="s">
        <v>32</v>
      </c>
      <c r="F166" s="6" t="s">
        <v>4882</v>
      </c>
    </row>
    <row r="167" spans="2:6">
      <c r="B167" s="5" t="s">
        <v>4688</v>
      </c>
      <c r="C167" s="5" t="s">
        <v>4881</v>
      </c>
      <c r="D167" s="6" t="s">
        <v>850</v>
      </c>
      <c r="E167" s="6" t="s">
        <v>35</v>
      </c>
      <c r="F167" s="6" t="s">
        <v>4883</v>
      </c>
    </row>
    <row r="168" spans="2:6">
      <c r="B168" s="5" t="s">
        <v>4790</v>
      </c>
      <c r="C168" s="5" t="s">
        <v>4881</v>
      </c>
      <c r="D168" s="6" t="s">
        <v>858</v>
      </c>
      <c r="E168" s="6" t="s">
        <v>33</v>
      </c>
      <c r="F168" s="6" t="s">
        <v>4884</v>
      </c>
    </row>
    <row r="170" spans="2:6" ht="14.1">
      <c r="B170" s="24"/>
      <c r="C170" s="24" t="s">
        <v>866</v>
      </c>
    </row>
    <row r="171" spans="2:6" ht="14.1">
      <c r="B171" s="4" t="s">
        <v>833</v>
      </c>
      <c r="C171" s="4" t="s">
        <v>834</v>
      </c>
      <c r="D171" s="4" t="s">
        <v>835</v>
      </c>
      <c r="E171" s="4" t="s">
        <v>2294</v>
      </c>
      <c r="F171" s="4" t="s">
        <v>3650</v>
      </c>
    </row>
    <row r="172" spans="2:6">
      <c r="B172" s="5" t="s">
        <v>3703</v>
      </c>
      <c r="C172" s="5" t="s">
        <v>4885</v>
      </c>
      <c r="D172" s="6" t="s">
        <v>875</v>
      </c>
      <c r="E172" s="6" t="s">
        <v>4869</v>
      </c>
      <c r="F172" s="6" t="s">
        <v>4886</v>
      </c>
    </row>
    <row r="173" spans="2:6">
      <c r="B173" s="5" t="s">
        <v>4765</v>
      </c>
      <c r="C173" s="5" t="s">
        <v>4885</v>
      </c>
      <c r="D173" s="6" t="s">
        <v>868</v>
      </c>
      <c r="E173" s="6" t="s">
        <v>67</v>
      </c>
      <c r="F173" s="6" t="s">
        <v>4887</v>
      </c>
    </row>
    <row r="174" spans="2:6">
      <c r="B174" s="5" t="s">
        <v>4768</v>
      </c>
      <c r="C174" s="5" t="s">
        <v>4885</v>
      </c>
      <c r="D174" s="6" t="s">
        <v>868</v>
      </c>
      <c r="E174" s="6" t="s">
        <v>104</v>
      </c>
      <c r="F174" s="6" t="s">
        <v>4888</v>
      </c>
    </row>
    <row r="176" spans="2:6" ht="14.1">
      <c r="B176" s="24"/>
      <c r="C176" s="24" t="s">
        <v>832</v>
      </c>
    </row>
    <row r="177" spans="2:6" ht="14.1">
      <c r="B177" s="4" t="s">
        <v>833</v>
      </c>
      <c r="C177" s="4" t="s">
        <v>834</v>
      </c>
      <c r="D177" s="4" t="s">
        <v>835</v>
      </c>
      <c r="E177" s="4" t="s">
        <v>4889</v>
      </c>
      <c r="F177" s="4" t="s">
        <v>3650</v>
      </c>
    </row>
    <row r="178" spans="2:6">
      <c r="B178" s="5" t="s">
        <v>4770</v>
      </c>
      <c r="C178" s="5" t="s">
        <v>832</v>
      </c>
      <c r="D178" s="6" t="s">
        <v>868</v>
      </c>
      <c r="E178" s="6" t="s">
        <v>110</v>
      </c>
      <c r="F178" s="6" t="s">
        <v>4890</v>
      </c>
    </row>
    <row r="179" spans="2:6">
      <c r="B179" s="5" t="s">
        <v>4824</v>
      </c>
      <c r="C179" s="5" t="s">
        <v>832</v>
      </c>
      <c r="D179" s="6" t="s">
        <v>888</v>
      </c>
      <c r="E179" s="6" t="s">
        <v>38</v>
      </c>
      <c r="F179" s="6" t="s">
        <v>4891</v>
      </c>
    </row>
    <row r="180" spans="2:6">
      <c r="B180" s="5" t="s">
        <v>4792</v>
      </c>
      <c r="C180" s="5" t="s">
        <v>832</v>
      </c>
      <c r="D180" s="6" t="s">
        <v>858</v>
      </c>
      <c r="E180" s="6" t="s">
        <v>37</v>
      </c>
      <c r="F180" s="6" t="s">
        <v>4892</v>
      </c>
    </row>
    <row r="182" spans="2:6" ht="14.1">
      <c r="B182" s="24"/>
      <c r="C182" s="24" t="s">
        <v>847</v>
      </c>
    </row>
    <row r="183" spans="2:6" ht="14.1">
      <c r="B183" s="4" t="s">
        <v>833</v>
      </c>
      <c r="C183" s="4" t="s">
        <v>834</v>
      </c>
      <c r="D183" s="4" t="s">
        <v>835</v>
      </c>
      <c r="E183" s="4" t="s">
        <v>2294</v>
      </c>
      <c r="F183" s="4" t="s">
        <v>3650</v>
      </c>
    </row>
    <row r="184" spans="2:6">
      <c r="B184" s="5" t="s">
        <v>4841</v>
      </c>
      <c r="C184" s="5" t="s">
        <v>3954</v>
      </c>
      <c r="D184" s="6" t="s">
        <v>888</v>
      </c>
      <c r="E184" s="6" t="s">
        <v>26</v>
      </c>
      <c r="F184" s="6" t="s">
        <v>4893</v>
      </c>
    </row>
    <row r="185" spans="2:6">
      <c r="B185" s="5" t="s">
        <v>4784</v>
      </c>
      <c r="C185" s="5" t="s">
        <v>3954</v>
      </c>
      <c r="D185" s="6" t="s">
        <v>868</v>
      </c>
      <c r="E185" s="6" t="s">
        <v>26</v>
      </c>
      <c r="F185" s="6" t="s">
        <v>4894</v>
      </c>
    </row>
    <row r="186" spans="2:6">
      <c r="B186" s="5" t="s">
        <v>2229</v>
      </c>
      <c r="C186" s="5" t="s">
        <v>3954</v>
      </c>
      <c r="D186" s="6" t="s">
        <v>844</v>
      </c>
      <c r="E186" s="6" t="s">
        <v>4712</v>
      </c>
      <c r="F186" s="6" t="s">
        <v>4895</v>
      </c>
    </row>
    <row r="187" spans="2:6">
      <c r="B187" s="5" t="s">
        <v>40</v>
      </c>
    </row>
  </sheetData>
  <mergeCells count="29">
    <mergeCell ref="A135:L135"/>
    <mergeCell ref="A144:L144"/>
    <mergeCell ref="A150:L150"/>
    <mergeCell ref="B3:B4"/>
    <mergeCell ref="A39:L39"/>
    <mergeCell ref="A55:L55"/>
    <mergeCell ref="A78:L78"/>
    <mergeCell ref="A96:L96"/>
    <mergeCell ref="A114:L114"/>
    <mergeCell ref="A124:L124"/>
    <mergeCell ref="A14:L14"/>
    <mergeCell ref="A17:L17"/>
    <mergeCell ref="A21:L21"/>
    <mergeCell ref="A24:L24"/>
    <mergeCell ref="A27:L27"/>
    <mergeCell ref="A32:L32"/>
    <mergeCell ref="A11:L11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Лист5">
    <pageSetUpPr fitToPage="1"/>
  </sheetPr>
  <dimension ref="A1:K87"/>
  <sheetViews>
    <sheetView zoomScaleNormal="100" workbookViewId="0">
      <selection sqref="A1:K2"/>
    </sheetView>
  </sheetViews>
  <sheetFormatPr defaultColWidth="9.140625" defaultRowHeight="12.95"/>
  <cols>
    <col min="1" max="1" width="7.42578125" style="6" bestFit="1" customWidth="1"/>
    <col min="2" max="2" width="22" style="5" bestFit="1" customWidth="1"/>
    <col min="3" max="3" width="28.42578125" style="5" bestFit="1" customWidth="1"/>
    <col min="4" max="4" width="21.42578125" style="5" bestFit="1" customWidth="1"/>
    <col min="5" max="5" width="23.42578125" style="5" bestFit="1" customWidth="1"/>
    <col min="6" max="8" width="4.42578125" style="6" bestFit="1" customWidth="1"/>
    <col min="9" max="9" width="4.85546875" style="6" bestFit="1" customWidth="1"/>
    <col min="10" max="10" width="7.85546875" style="39" bestFit="1" customWidth="1"/>
    <col min="11" max="11" width="22.7109375" style="5" customWidth="1"/>
    <col min="12" max="16384" width="9.140625" style="3"/>
  </cols>
  <sheetData>
    <row r="1" spans="1:11" s="2" customFormat="1" ht="29.1" customHeight="1">
      <c r="A1" s="103" t="s">
        <v>4896</v>
      </c>
      <c r="B1" s="104"/>
      <c r="C1" s="105"/>
      <c r="D1" s="105"/>
      <c r="E1" s="105"/>
      <c r="F1" s="105"/>
      <c r="G1" s="105"/>
      <c r="H1" s="105"/>
      <c r="I1" s="105"/>
      <c r="J1" s="105"/>
      <c r="K1" s="106"/>
    </row>
    <row r="2" spans="1:11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1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6</v>
      </c>
      <c r="F3" s="114" t="s">
        <v>4897</v>
      </c>
      <c r="G3" s="114"/>
      <c r="H3" s="114"/>
      <c r="I3" s="114"/>
      <c r="J3" s="117" t="s">
        <v>10</v>
      </c>
      <c r="K3" s="99" t="s">
        <v>12</v>
      </c>
    </row>
    <row r="4" spans="1:11" s="1" customFormat="1" ht="21" customHeight="1" thickBot="1">
      <c r="A4" s="111"/>
      <c r="B4" s="116"/>
      <c r="C4" s="113"/>
      <c r="D4" s="113"/>
      <c r="E4" s="113"/>
      <c r="F4" s="96">
        <v>1</v>
      </c>
      <c r="G4" s="96">
        <v>2</v>
      </c>
      <c r="H4" s="96">
        <v>3</v>
      </c>
      <c r="I4" s="96" t="s">
        <v>13</v>
      </c>
      <c r="J4" s="118"/>
      <c r="K4" s="100"/>
    </row>
    <row r="5" spans="1:11" ht="15.95">
      <c r="A5" s="101" t="s">
        <v>98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1">
      <c r="A6" s="10" t="s">
        <v>15</v>
      </c>
      <c r="B6" s="7" t="s">
        <v>4898</v>
      </c>
      <c r="C6" s="7" t="s">
        <v>4899</v>
      </c>
      <c r="D6" s="7" t="s">
        <v>44</v>
      </c>
      <c r="E6" s="7" t="s">
        <v>650</v>
      </c>
      <c r="F6" s="8" t="s">
        <v>4900</v>
      </c>
      <c r="G6" s="8" t="s">
        <v>4901</v>
      </c>
      <c r="H6" s="9" t="s">
        <v>4902</v>
      </c>
      <c r="I6" s="10"/>
      <c r="J6" s="41" t="str">
        <f>"24,0"</f>
        <v>24,0</v>
      </c>
      <c r="K6" s="7" t="s">
        <v>158</v>
      </c>
    </row>
    <row r="7" spans="1:11">
      <c r="B7" s="5" t="s">
        <v>40</v>
      </c>
    </row>
    <row r="8" spans="1:11" ht="15.95">
      <c r="A8" s="102" t="s">
        <v>195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1">
      <c r="A9" s="13" t="s">
        <v>15</v>
      </c>
      <c r="B9" s="11" t="s">
        <v>4903</v>
      </c>
      <c r="C9" s="11" t="s">
        <v>4904</v>
      </c>
      <c r="D9" s="11" t="s">
        <v>193</v>
      </c>
      <c r="E9" s="11" t="s">
        <v>828</v>
      </c>
      <c r="F9" s="12" t="s">
        <v>4905</v>
      </c>
      <c r="G9" s="12" t="s">
        <v>4906</v>
      </c>
      <c r="H9" s="12" t="s">
        <v>83</v>
      </c>
      <c r="I9" s="13"/>
      <c r="J9" s="37" t="str">
        <f>"47,5"</f>
        <v>47,5</v>
      </c>
      <c r="K9" s="11" t="s">
        <v>4907</v>
      </c>
    </row>
    <row r="10" spans="1:11">
      <c r="A10" s="17" t="s">
        <v>62</v>
      </c>
      <c r="B10" s="14" t="s">
        <v>4908</v>
      </c>
      <c r="C10" s="14" t="s">
        <v>4909</v>
      </c>
      <c r="D10" s="14" t="s">
        <v>4073</v>
      </c>
      <c r="E10" s="14" t="s">
        <v>2802</v>
      </c>
      <c r="F10" s="15" t="s">
        <v>4910</v>
      </c>
      <c r="G10" s="15" t="s">
        <v>4911</v>
      </c>
      <c r="H10" s="15" t="s">
        <v>4905</v>
      </c>
      <c r="I10" s="16" t="s">
        <v>4912</v>
      </c>
      <c r="J10" s="40" t="str">
        <f>"41,5"</f>
        <v>41,5</v>
      </c>
      <c r="K10" s="14" t="s">
        <v>4913</v>
      </c>
    </row>
    <row r="11" spans="1:11">
      <c r="A11" s="17" t="s">
        <v>73</v>
      </c>
      <c r="B11" s="14" t="s">
        <v>4914</v>
      </c>
      <c r="C11" s="14" t="s">
        <v>4915</v>
      </c>
      <c r="D11" s="14" t="s">
        <v>4916</v>
      </c>
      <c r="E11" s="14" t="s">
        <v>91</v>
      </c>
      <c r="F11" s="15" t="s">
        <v>4902</v>
      </c>
      <c r="G11" s="16" t="s">
        <v>4910</v>
      </c>
      <c r="H11" s="16" t="s">
        <v>4910</v>
      </c>
      <c r="I11" s="17"/>
      <c r="J11" s="40" t="str">
        <f>"31,5"</f>
        <v>31,5</v>
      </c>
      <c r="K11" s="14" t="s">
        <v>4917</v>
      </c>
    </row>
    <row r="12" spans="1:11">
      <c r="A12" s="20" t="s">
        <v>15</v>
      </c>
      <c r="B12" s="18" t="s">
        <v>4918</v>
      </c>
      <c r="C12" s="18" t="s">
        <v>4919</v>
      </c>
      <c r="D12" s="18" t="s">
        <v>4920</v>
      </c>
      <c r="E12" s="18" t="s">
        <v>2418</v>
      </c>
      <c r="F12" s="19" t="s">
        <v>4900</v>
      </c>
      <c r="G12" s="19" t="s">
        <v>4921</v>
      </c>
      <c r="H12" s="19" t="s">
        <v>4901</v>
      </c>
      <c r="I12" s="20"/>
      <c r="J12" s="38" t="str">
        <f>"24,0"</f>
        <v>24,0</v>
      </c>
      <c r="K12" s="18" t="s">
        <v>158</v>
      </c>
    </row>
    <row r="13" spans="1:11">
      <c r="B13" s="5" t="s">
        <v>40</v>
      </c>
    </row>
    <row r="14" spans="1:11" ht="15.95">
      <c r="A14" s="102" t="s">
        <v>301</v>
      </c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1">
      <c r="A15" s="13" t="s">
        <v>15</v>
      </c>
      <c r="B15" s="31" t="s">
        <v>4922</v>
      </c>
      <c r="C15" s="11" t="s">
        <v>3930</v>
      </c>
      <c r="D15" s="11" t="s">
        <v>1013</v>
      </c>
      <c r="E15" s="11" t="s">
        <v>91</v>
      </c>
      <c r="F15" s="12" t="s">
        <v>4910</v>
      </c>
      <c r="G15" s="12" t="s">
        <v>4923</v>
      </c>
      <c r="H15" s="21" t="s">
        <v>4905</v>
      </c>
      <c r="I15" s="13"/>
      <c r="J15" s="37" t="str">
        <f>"36,5"</f>
        <v>36,5</v>
      </c>
      <c r="K15" s="11" t="s">
        <v>4917</v>
      </c>
    </row>
    <row r="16" spans="1:11">
      <c r="A16" s="17" t="s">
        <v>62</v>
      </c>
      <c r="B16" s="14" t="s">
        <v>4924</v>
      </c>
      <c r="C16" s="14" t="s">
        <v>4925</v>
      </c>
      <c r="D16" s="14" t="s">
        <v>4926</v>
      </c>
      <c r="E16" s="14" t="s">
        <v>1105</v>
      </c>
      <c r="F16" s="16" t="s">
        <v>4927</v>
      </c>
      <c r="G16" s="15" t="s">
        <v>4921</v>
      </c>
      <c r="H16" s="15" t="s">
        <v>4928</v>
      </c>
      <c r="I16" s="17"/>
      <c r="J16" s="40" t="str">
        <f>"29,0"</f>
        <v>29,0</v>
      </c>
      <c r="K16" s="14" t="s">
        <v>158</v>
      </c>
    </row>
    <row r="17" spans="1:11">
      <c r="A17" s="20" t="s">
        <v>15</v>
      </c>
      <c r="B17" s="18" t="s">
        <v>4929</v>
      </c>
      <c r="C17" s="18" t="s">
        <v>4930</v>
      </c>
      <c r="D17" s="18" t="s">
        <v>925</v>
      </c>
      <c r="E17" s="18" t="s">
        <v>2418</v>
      </c>
      <c r="F17" s="19" t="s">
        <v>4931</v>
      </c>
      <c r="G17" s="19" t="s">
        <v>4932</v>
      </c>
      <c r="H17" s="19" t="s">
        <v>4921</v>
      </c>
      <c r="I17" s="20"/>
      <c r="J17" s="38" t="str">
        <f>"21,5"</f>
        <v>21,5</v>
      </c>
      <c r="K17" s="18" t="s">
        <v>4933</v>
      </c>
    </row>
    <row r="18" spans="1:11">
      <c r="B18" s="5" t="s">
        <v>40</v>
      </c>
    </row>
    <row r="19" spans="1:11" ht="15.95">
      <c r="A19" s="102" t="s">
        <v>4934</v>
      </c>
      <c r="B19" s="102"/>
      <c r="C19" s="102"/>
      <c r="D19" s="102"/>
      <c r="E19" s="102"/>
      <c r="F19" s="102"/>
      <c r="G19" s="102"/>
      <c r="H19" s="102"/>
      <c r="I19" s="102"/>
      <c r="J19" s="102"/>
    </row>
    <row r="20" spans="1:11">
      <c r="A20" s="10" t="s">
        <v>15</v>
      </c>
      <c r="B20" s="7" t="s">
        <v>4935</v>
      </c>
      <c r="C20" s="7" t="s">
        <v>4936</v>
      </c>
      <c r="D20" s="7" t="s">
        <v>1124</v>
      </c>
      <c r="E20" s="7" t="s">
        <v>91</v>
      </c>
      <c r="F20" s="8" t="s">
        <v>4669</v>
      </c>
      <c r="G20" s="8" t="s">
        <v>4923</v>
      </c>
      <c r="H20" s="9" t="s">
        <v>4905</v>
      </c>
      <c r="I20" s="10"/>
      <c r="J20" s="41" t="str">
        <f>"36,5"</f>
        <v>36,5</v>
      </c>
      <c r="K20" s="7" t="s">
        <v>4937</v>
      </c>
    </row>
    <row r="21" spans="1:11">
      <c r="B21" s="5" t="s">
        <v>40</v>
      </c>
    </row>
    <row r="22" spans="1:11" ht="15.95">
      <c r="A22" s="102" t="s">
        <v>4938</v>
      </c>
      <c r="B22" s="102"/>
      <c r="C22" s="102"/>
      <c r="D22" s="102"/>
      <c r="E22" s="102"/>
      <c r="F22" s="102"/>
      <c r="G22" s="102"/>
      <c r="H22" s="102"/>
      <c r="I22" s="102"/>
      <c r="J22" s="102"/>
    </row>
    <row r="23" spans="1:11">
      <c r="A23" s="13" t="s">
        <v>15</v>
      </c>
      <c r="B23" s="11" t="s">
        <v>4939</v>
      </c>
      <c r="C23" s="11" t="s">
        <v>4940</v>
      </c>
      <c r="D23" s="11" t="s">
        <v>4941</v>
      </c>
      <c r="E23" s="11" t="s">
        <v>720</v>
      </c>
      <c r="F23" s="12" t="s">
        <v>4942</v>
      </c>
      <c r="G23" s="12" t="s">
        <v>4744</v>
      </c>
      <c r="H23" s="12" t="s">
        <v>4943</v>
      </c>
      <c r="I23" s="21" t="s">
        <v>4804</v>
      </c>
      <c r="J23" s="37" t="str">
        <f>"79,0"</f>
        <v>79,0</v>
      </c>
      <c r="K23" s="11" t="s">
        <v>2311</v>
      </c>
    </row>
    <row r="24" spans="1:11">
      <c r="A24" s="17" t="s">
        <v>62</v>
      </c>
      <c r="B24" s="14" t="s">
        <v>3983</v>
      </c>
      <c r="C24" s="14" t="s">
        <v>3984</v>
      </c>
      <c r="D24" s="14" t="s">
        <v>3985</v>
      </c>
      <c r="E24" s="14" t="s">
        <v>66</v>
      </c>
      <c r="F24" s="15" t="s">
        <v>4944</v>
      </c>
      <c r="G24" s="15" t="s">
        <v>4945</v>
      </c>
      <c r="H24" s="15" t="s">
        <v>4946</v>
      </c>
      <c r="I24" s="17"/>
      <c r="J24" s="40" t="str">
        <f>"54,0"</f>
        <v>54,0</v>
      </c>
      <c r="K24" s="14" t="s">
        <v>158</v>
      </c>
    </row>
    <row r="25" spans="1:11">
      <c r="A25" s="17" t="s">
        <v>15</v>
      </c>
      <c r="B25" s="14" t="s">
        <v>3983</v>
      </c>
      <c r="C25" s="14" t="s">
        <v>3987</v>
      </c>
      <c r="D25" s="14" t="s">
        <v>3985</v>
      </c>
      <c r="E25" s="14" t="s">
        <v>66</v>
      </c>
      <c r="F25" s="15" t="s">
        <v>4944</v>
      </c>
      <c r="G25" s="15" t="s">
        <v>4945</v>
      </c>
      <c r="H25" s="15" t="s">
        <v>4946</v>
      </c>
      <c r="I25" s="17"/>
      <c r="J25" s="40" t="str">
        <f>"54,0"</f>
        <v>54,0</v>
      </c>
      <c r="K25" s="14" t="s">
        <v>158</v>
      </c>
    </row>
    <row r="26" spans="1:11">
      <c r="A26" s="20" t="s">
        <v>15</v>
      </c>
      <c r="B26" s="18" t="s">
        <v>4947</v>
      </c>
      <c r="C26" s="18" t="s">
        <v>4948</v>
      </c>
      <c r="D26" s="18" t="s">
        <v>4949</v>
      </c>
      <c r="E26" s="18" t="s">
        <v>4950</v>
      </c>
      <c r="F26" s="19" t="s">
        <v>4951</v>
      </c>
      <c r="G26" s="19" t="s">
        <v>4952</v>
      </c>
      <c r="H26" s="19" t="s">
        <v>4953</v>
      </c>
      <c r="I26" s="20"/>
      <c r="J26" s="38" t="str">
        <f>"66,5"</f>
        <v>66,5</v>
      </c>
      <c r="K26" s="18" t="s">
        <v>158</v>
      </c>
    </row>
    <row r="27" spans="1:11">
      <c r="B27" s="5" t="s">
        <v>40</v>
      </c>
    </row>
    <row r="28" spans="1:11" ht="15.95">
      <c r="A28" s="102" t="s">
        <v>4954</v>
      </c>
      <c r="B28" s="102"/>
      <c r="C28" s="102"/>
      <c r="D28" s="102"/>
      <c r="E28" s="102"/>
      <c r="F28" s="102"/>
      <c r="G28" s="102"/>
      <c r="H28" s="102"/>
      <c r="I28" s="102"/>
      <c r="J28" s="102"/>
    </row>
    <row r="29" spans="1:11">
      <c r="A29" s="13" t="s">
        <v>15</v>
      </c>
      <c r="B29" s="11" t="s">
        <v>4955</v>
      </c>
      <c r="C29" s="11" t="s">
        <v>4956</v>
      </c>
      <c r="D29" s="11" t="s">
        <v>2114</v>
      </c>
      <c r="E29" s="11" t="s">
        <v>91</v>
      </c>
      <c r="F29" s="12" t="s">
        <v>4952</v>
      </c>
      <c r="G29" s="12" t="s">
        <v>4953</v>
      </c>
      <c r="H29" s="21" t="s">
        <v>4942</v>
      </c>
      <c r="I29" s="13"/>
      <c r="J29" s="37" t="str">
        <f>"66,5"</f>
        <v>66,5</v>
      </c>
      <c r="K29" s="11" t="s">
        <v>158</v>
      </c>
    </row>
    <row r="30" spans="1:11">
      <c r="A30" s="20" t="s">
        <v>15</v>
      </c>
      <c r="B30" s="18" t="s">
        <v>4957</v>
      </c>
      <c r="C30" s="18" t="s">
        <v>4958</v>
      </c>
      <c r="D30" s="18" t="s">
        <v>932</v>
      </c>
      <c r="E30" s="18" t="s">
        <v>906</v>
      </c>
      <c r="F30" s="19" t="s">
        <v>4905</v>
      </c>
      <c r="G30" s="19" t="s">
        <v>4906</v>
      </c>
      <c r="H30" s="19" t="s">
        <v>4959</v>
      </c>
      <c r="I30" s="20"/>
      <c r="J30" s="38" t="str">
        <f>"46,0"</f>
        <v>46,0</v>
      </c>
      <c r="K30" s="18" t="s">
        <v>158</v>
      </c>
    </row>
    <row r="31" spans="1:11">
      <c r="B31" s="5" t="s">
        <v>40</v>
      </c>
    </row>
    <row r="32" spans="1:11" ht="15.95">
      <c r="A32" s="102" t="s">
        <v>598</v>
      </c>
      <c r="B32" s="102"/>
      <c r="C32" s="102"/>
      <c r="D32" s="102"/>
      <c r="E32" s="102"/>
      <c r="F32" s="102"/>
      <c r="G32" s="102"/>
      <c r="H32" s="102"/>
      <c r="I32" s="102"/>
      <c r="J32" s="102"/>
    </row>
    <row r="33" spans="1:11">
      <c r="A33" s="13" t="s">
        <v>15</v>
      </c>
      <c r="B33" s="11" t="s">
        <v>4960</v>
      </c>
      <c r="C33" s="11" t="s">
        <v>4961</v>
      </c>
      <c r="D33" s="11" t="s">
        <v>4962</v>
      </c>
      <c r="E33" s="11" t="s">
        <v>4963</v>
      </c>
      <c r="F33" s="12" t="s">
        <v>4943</v>
      </c>
      <c r="G33" s="12" t="s">
        <v>4964</v>
      </c>
      <c r="H33" s="12" t="s">
        <v>4965</v>
      </c>
      <c r="I33" s="12" t="s">
        <v>4966</v>
      </c>
      <c r="J33" s="37" t="str">
        <f>"87,0"</f>
        <v>87,0</v>
      </c>
      <c r="K33" s="11" t="s">
        <v>158</v>
      </c>
    </row>
    <row r="34" spans="1:11">
      <c r="A34" s="17" t="s">
        <v>62</v>
      </c>
      <c r="B34" s="14" t="s">
        <v>4967</v>
      </c>
      <c r="C34" s="14" t="s">
        <v>4968</v>
      </c>
      <c r="D34" s="14" t="s">
        <v>1486</v>
      </c>
      <c r="E34" s="14" t="s">
        <v>4969</v>
      </c>
      <c r="F34" s="15" t="s">
        <v>4952</v>
      </c>
      <c r="G34" s="15" t="s">
        <v>4942</v>
      </c>
      <c r="H34" s="15" t="s">
        <v>4744</v>
      </c>
      <c r="I34" s="17"/>
      <c r="J34" s="40" t="str">
        <f>"74,0"</f>
        <v>74,0</v>
      </c>
      <c r="K34" s="14" t="s">
        <v>158</v>
      </c>
    </row>
    <row r="35" spans="1:11">
      <c r="A35" s="17" t="s">
        <v>73</v>
      </c>
      <c r="B35" s="14" t="s">
        <v>4970</v>
      </c>
      <c r="C35" s="14" t="s">
        <v>4971</v>
      </c>
      <c r="D35" s="14" t="s">
        <v>1720</v>
      </c>
      <c r="E35" s="14" t="s">
        <v>4972</v>
      </c>
      <c r="F35" s="15" t="s">
        <v>4953</v>
      </c>
      <c r="G35" s="15" t="s">
        <v>4973</v>
      </c>
      <c r="H35" s="16" t="s">
        <v>4744</v>
      </c>
      <c r="I35" s="17"/>
      <c r="J35" s="40" t="str">
        <f>"71,5"</f>
        <v>71,5</v>
      </c>
      <c r="K35" s="14" t="s">
        <v>158</v>
      </c>
    </row>
    <row r="36" spans="1:11">
      <c r="A36" s="17" t="s">
        <v>75</v>
      </c>
      <c r="B36" s="14" t="s">
        <v>4974</v>
      </c>
      <c r="C36" s="14" t="s">
        <v>4975</v>
      </c>
      <c r="D36" s="14" t="s">
        <v>615</v>
      </c>
      <c r="E36" s="14" t="s">
        <v>906</v>
      </c>
      <c r="F36" s="15" t="s">
        <v>4952</v>
      </c>
      <c r="G36" s="16" t="s">
        <v>4942</v>
      </c>
      <c r="H36" s="17"/>
      <c r="I36" s="17"/>
      <c r="J36" s="40" t="str">
        <f>"64,0"</f>
        <v>64,0</v>
      </c>
      <c r="K36" s="14" t="s">
        <v>158</v>
      </c>
    </row>
    <row r="37" spans="1:11">
      <c r="A37" s="17" t="s">
        <v>15</v>
      </c>
      <c r="B37" s="14" t="s">
        <v>4976</v>
      </c>
      <c r="C37" s="14" t="s">
        <v>4977</v>
      </c>
      <c r="D37" s="14" t="s">
        <v>4978</v>
      </c>
      <c r="E37" s="14" t="s">
        <v>720</v>
      </c>
      <c r="F37" s="15" t="s">
        <v>4973</v>
      </c>
      <c r="G37" s="15" t="s">
        <v>4744</v>
      </c>
      <c r="H37" s="15" t="s">
        <v>4979</v>
      </c>
      <c r="I37" s="17"/>
      <c r="J37" s="40" t="str">
        <f>"76,5"</f>
        <v>76,5</v>
      </c>
      <c r="K37" s="14" t="s">
        <v>158</v>
      </c>
    </row>
    <row r="38" spans="1:11">
      <c r="A38" s="17" t="s">
        <v>62</v>
      </c>
      <c r="B38" s="14" t="s">
        <v>2135</v>
      </c>
      <c r="C38" s="14" t="s">
        <v>2143</v>
      </c>
      <c r="D38" s="14" t="s">
        <v>1480</v>
      </c>
      <c r="E38" s="14" t="s">
        <v>2137</v>
      </c>
      <c r="F38" s="16" t="s">
        <v>4942</v>
      </c>
      <c r="G38" s="15" t="s">
        <v>4942</v>
      </c>
      <c r="H38" s="16" t="s">
        <v>4973</v>
      </c>
      <c r="I38" s="17"/>
      <c r="J38" s="40" t="str">
        <f>"69,0"</f>
        <v>69,0</v>
      </c>
      <c r="K38" s="14" t="s">
        <v>158</v>
      </c>
    </row>
    <row r="39" spans="1:11">
      <c r="A39" s="17" t="s">
        <v>15</v>
      </c>
      <c r="B39" s="14" t="s">
        <v>4192</v>
      </c>
      <c r="C39" s="14" t="s">
        <v>4193</v>
      </c>
      <c r="D39" s="14" t="s">
        <v>622</v>
      </c>
      <c r="E39" s="14" t="s">
        <v>91</v>
      </c>
      <c r="F39" s="15" t="s">
        <v>4945</v>
      </c>
      <c r="G39" s="15" t="s">
        <v>4980</v>
      </c>
      <c r="H39" s="15" t="s">
        <v>4951</v>
      </c>
      <c r="I39" s="17"/>
      <c r="J39" s="40" t="str">
        <f>"59,0"</f>
        <v>59,0</v>
      </c>
      <c r="K39" s="14" t="s">
        <v>158</v>
      </c>
    </row>
    <row r="40" spans="1:11">
      <c r="A40" s="20" t="s">
        <v>62</v>
      </c>
      <c r="B40" s="18" t="s">
        <v>4517</v>
      </c>
      <c r="C40" s="18" t="s">
        <v>4518</v>
      </c>
      <c r="D40" s="18" t="s">
        <v>590</v>
      </c>
      <c r="E40" s="18" t="s">
        <v>4519</v>
      </c>
      <c r="F40" s="19" t="s">
        <v>4928</v>
      </c>
      <c r="G40" s="19" t="s">
        <v>4923</v>
      </c>
      <c r="H40" s="19" t="s">
        <v>4905</v>
      </c>
      <c r="I40" s="20"/>
      <c r="J40" s="38" t="str">
        <f>"41,5"</f>
        <v>41,5</v>
      </c>
      <c r="K40" s="18" t="s">
        <v>158</v>
      </c>
    </row>
    <row r="41" spans="1:11">
      <c r="B41" s="5" t="s">
        <v>40</v>
      </c>
    </row>
    <row r="42" spans="1:11" ht="15.95">
      <c r="A42" s="102" t="s">
        <v>670</v>
      </c>
      <c r="B42" s="102"/>
      <c r="C42" s="102"/>
      <c r="D42" s="102"/>
      <c r="E42" s="102"/>
      <c r="F42" s="102"/>
      <c r="G42" s="102"/>
      <c r="H42" s="102"/>
      <c r="I42" s="102"/>
      <c r="J42" s="102"/>
    </row>
    <row r="43" spans="1:11">
      <c r="A43" s="13" t="s">
        <v>15</v>
      </c>
      <c r="B43" s="11" t="s">
        <v>4981</v>
      </c>
      <c r="C43" s="11" t="s">
        <v>4982</v>
      </c>
      <c r="D43" s="11" t="s">
        <v>1147</v>
      </c>
      <c r="E43" s="11" t="s">
        <v>1214</v>
      </c>
      <c r="F43" s="12" t="s">
        <v>4804</v>
      </c>
      <c r="G43" s="12" t="s">
        <v>4983</v>
      </c>
      <c r="H43" s="21" t="s">
        <v>4984</v>
      </c>
      <c r="I43" s="13"/>
      <c r="J43" s="37" t="str">
        <f>"91,5"</f>
        <v>91,5</v>
      </c>
      <c r="K43" s="11" t="s">
        <v>158</v>
      </c>
    </row>
    <row r="44" spans="1:11">
      <c r="A44" s="17" t="s">
        <v>62</v>
      </c>
      <c r="B44" s="14" t="s">
        <v>4985</v>
      </c>
      <c r="C44" s="14" t="s">
        <v>4986</v>
      </c>
      <c r="D44" s="14" t="s">
        <v>1827</v>
      </c>
      <c r="E44" s="14" t="s">
        <v>2782</v>
      </c>
      <c r="F44" s="15" t="s">
        <v>4964</v>
      </c>
      <c r="G44" s="15" t="s">
        <v>4966</v>
      </c>
      <c r="H44" s="16" t="s">
        <v>4987</v>
      </c>
      <c r="I44" s="17"/>
      <c r="J44" s="40" t="str">
        <f>"89,0"</f>
        <v>89,0</v>
      </c>
      <c r="K44" s="14" t="s">
        <v>4988</v>
      </c>
    </row>
    <row r="45" spans="1:11">
      <c r="A45" s="17" t="s">
        <v>73</v>
      </c>
      <c r="B45" s="14" t="s">
        <v>4989</v>
      </c>
      <c r="C45" s="14" t="s">
        <v>4990</v>
      </c>
      <c r="D45" s="14" t="s">
        <v>1168</v>
      </c>
      <c r="E45" s="14" t="s">
        <v>4991</v>
      </c>
      <c r="F45" s="15" t="s">
        <v>4943</v>
      </c>
      <c r="G45" s="16" t="s">
        <v>4796</v>
      </c>
      <c r="H45" s="16" t="s">
        <v>4796</v>
      </c>
      <c r="I45" s="17"/>
      <c r="J45" s="40" t="str">
        <f>"79,0"</f>
        <v>79,0</v>
      </c>
      <c r="K45" s="14" t="s">
        <v>158</v>
      </c>
    </row>
    <row r="46" spans="1:11">
      <c r="A46" s="17" t="s">
        <v>75</v>
      </c>
      <c r="B46" s="14" t="s">
        <v>4992</v>
      </c>
      <c r="C46" s="14" t="s">
        <v>4993</v>
      </c>
      <c r="D46" s="14" t="s">
        <v>694</v>
      </c>
      <c r="E46" s="14" t="s">
        <v>91</v>
      </c>
      <c r="F46" s="15" t="s">
        <v>4943</v>
      </c>
      <c r="G46" s="16" t="s">
        <v>4964</v>
      </c>
      <c r="H46" s="16" t="s">
        <v>4964</v>
      </c>
      <c r="I46" s="17"/>
      <c r="J46" s="40" t="str">
        <f>"79,0"</f>
        <v>79,0</v>
      </c>
      <c r="K46" s="14" t="s">
        <v>4994</v>
      </c>
    </row>
    <row r="47" spans="1:11">
      <c r="A47" s="17" t="s">
        <v>15</v>
      </c>
      <c r="B47" s="33" t="s">
        <v>4995</v>
      </c>
      <c r="C47" s="14" t="s">
        <v>4996</v>
      </c>
      <c r="D47" s="14" t="s">
        <v>3690</v>
      </c>
      <c r="E47" s="14" t="s">
        <v>828</v>
      </c>
      <c r="F47" s="15" t="s">
        <v>4744</v>
      </c>
      <c r="G47" s="15" t="s">
        <v>4943</v>
      </c>
      <c r="H47" s="15" t="s">
        <v>4804</v>
      </c>
      <c r="I47" s="16" t="s">
        <v>4997</v>
      </c>
      <c r="J47" s="40" t="str">
        <f>"81,5"</f>
        <v>81,5</v>
      </c>
      <c r="K47" s="14" t="s">
        <v>4998</v>
      </c>
    </row>
    <row r="48" spans="1:11">
      <c r="A48" s="17" t="s">
        <v>62</v>
      </c>
      <c r="B48" s="33" t="s">
        <v>4999</v>
      </c>
      <c r="C48" s="14" t="s">
        <v>5000</v>
      </c>
      <c r="D48" s="14" t="s">
        <v>5001</v>
      </c>
      <c r="E48" s="14" t="s">
        <v>906</v>
      </c>
      <c r="F48" s="15" t="s">
        <v>4744</v>
      </c>
      <c r="G48" s="15" t="s">
        <v>4979</v>
      </c>
      <c r="H48" s="16" t="s">
        <v>4804</v>
      </c>
      <c r="I48" s="17"/>
      <c r="J48" s="40" t="str">
        <f>"76,5"</f>
        <v>76,5</v>
      </c>
      <c r="K48" s="14" t="s">
        <v>5002</v>
      </c>
    </row>
    <row r="49" spans="1:11">
      <c r="A49" s="20" t="s">
        <v>15</v>
      </c>
      <c r="B49" s="18" t="s">
        <v>5003</v>
      </c>
      <c r="C49" s="18" t="s">
        <v>5004</v>
      </c>
      <c r="D49" s="18" t="s">
        <v>5005</v>
      </c>
      <c r="E49" s="18" t="s">
        <v>5006</v>
      </c>
      <c r="F49" s="19" t="s">
        <v>4946</v>
      </c>
      <c r="G49" s="22" t="s">
        <v>5007</v>
      </c>
      <c r="H49" s="20"/>
      <c r="I49" s="20"/>
      <c r="J49" s="38" t="str">
        <f>"54,0"</f>
        <v>54,0</v>
      </c>
      <c r="K49" s="18" t="s">
        <v>158</v>
      </c>
    </row>
    <row r="50" spans="1:11">
      <c r="B50" s="5" t="s">
        <v>40</v>
      </c>
    </row>
    <row r="51" spans="1:11" ht="15.95">
      <c r="A51" s="102" t="s">
        <v>724</v>
      </c>
      <c r="B51" s="102"/>
      <c r="C51" s="102"/>
      <c r="D51" s="102"/>
      <c r="E51" s="102"/>
      <c r="F51" s="102"/>
      <c r="G51" s="102"/>
      <c r="H51" s="102"/>
      <c r="I51" s="102"/>
      <c r="J51" s="102"/>
    </row>
    <row r="52" spans="1:11">
      <c r="A52" s="13" t="s">
        <v>15</v>
      </c>
      <c r="B52" s="11" t="s">
        <v>4846</v>
      </c>
      <c r="C52" s="11" t="s">
        <v>5008</v>
      </c>
      <c r="D52" s="11" t="s">
        <v>4211</v>
      </c>
      <c r="E52" s="11" t="s">
        <v>5009</v>
      </c>
      <c r="F52" s="12" t="s">
        <v>4953</v>
      </c>
      <c r="G52" s="12" t="s">
        <v>4942</v>
      </c>
      <c r="H52" s="12" t="s">
        <v>4973</v>
      </c>
      <c r="I52" s="13"/>
      <c r="J52" s="37" t="str">
        <f>"71,5"</f>
        <v>71,5</v>
      </c>
      <c r="K52" s="11" t="s">
        <v>158</v>
      </c>
    </row>
    <row r="53" spans="1:11">
      <c r="A53" s="17" t="s">
        <v>92</v>
      </c>
      <c r="B53" s="14" t="s">
        <v>4036</v>
      </c>
      <c r="C53" s="14" t="s">
        <v>4037</v>
      </c>
      <c r="D53" s="14" t="s">
        <v>4038</v>
      </c>
      <c r="E53" s="14" t="s">
        <v>4039</v>
      </c>
      <c r="F53" s="16" t="s">
        <v>4942</v>
      </c>
      <c r="G53" s="16" t="s">
        <v>4942</v>
      </c>
      <c r="H53" s="16" t="s">
        <v>4942</v>
      </c>
      <c r="I53" s="17"/>
      <c r="J53" s="40">
        <v>0</v>
      </c>
      <c r="K53" s="14" t="s">
        <v>158</v>
      </c>
    </row>
    <row r="54" spans="1:11">
      <c r="A54" s="17" t="s">
        <v>15</v>
      </c>
      <c r="B54" s="14" t="s">
        <v>4846</v>
      </c>
      <c r="C54" s="14" t="s">
        <v>4847</v>
      </c>
      <c r="D54" s="14" t="s">
        <v>4211</v>
      </c>
      <c r="E54" s="14" t="s">
        <v>5010</v>
      </c>
      <c r="F54" s="15" t="s">
        <v>4953</v>
      </c>
      <c r="G54" s="15" t="s">
        <v>4942</v>
      </c>
      <c r="H54" s="15" t="s">
        <v>4973</v>
      </c>
      <c r="I54" s="17"/>
      <c r="J54" s="40" t="str">
        <f>"71,5"</f>
        <v>71,5</v>
      </c>
      <c r="K54" s="14" t="s">
        <v>158</v>
      </c>
    </row>
    <row r="55" spans="1:11">
      <c r="A55" s="17" t="s">
        <v>15</v>
      </c>
      <c r="B55" s="14" t="s">
        <v>5011</v>
      </c>
      <c r="C55" s="14" t="s">
        <v>5012</v>
      </c>
      <c r="D55" s="14" t="s">
        <v>5013</v>
      </c>
      <c r="E55" s="14" t="s">
        <v>5014</v>
      </c>
      <c r="F55" s="15" t="s">
        <v>4942</v>
      </c>
      <c r="G55" s="15" t="s">
        <v>4973</v>
      </c>
      <c r="H55" s="15" t="s">
        <v>4979</v>
      </c>
      <c r="I55" s="16" t="s">
        <v>4997</v>
      </c>
      <c r="J55" s="40" t="str">
        <f>"76,5"</f>
        <v>76,5</v>
      </c>
      <c r="K55" s="14" t="s">
        <v>5015</v>
      </c>
    </row>
    <row r="56" spans="1:11">
      <c r="A56" s="20" t="s">
        <v>62</v>
      </c>
      <c r="B56" s="18" t="s">
        <v>4209</v>
      </c>
      <c r="C56" s="18" t="s">
        <v>4210</v>
      </c>
      <c r="D56" s="18" t="s">
        <v>4211</v>
      </c>
      <c r="E56" s="18" t="s">
        <v>2418</v>
      </c>
      <c r="F56" s="19" t="s">
        <v>4911</v>
      </c>
      <c r="G56" s="19" t="s">
        <v>4905</v>
      </c>
      <c r="H56" s="19" t="s">
        <v>4906</v>
      </c>
      <c r="I56" s="20"/>
      <c r="J56" s="38" t="str">
        <f>"44,0"</f>
        <v>44,0</v>
      </c>
      <c r="K56" s="18" t="s">
        <v>4212</v>
      </c>
    </row>
    <row r="57" spans="1:11">
      <c r="B57" s="5" t="s">
        <v>40</v>
      </c>
    </row>
    <row r="58" spans="1:11" ht="15.95">
      <c r="A58" s="102" t="s">
        <v>783</v>
      </c>
      <c r="B58" s="102"/>
      <c r="C58" s="102"/>
      <c r="D58" s="102"/>
      <c r="E58" s="102"/>
      <c r="F58" s="102"/>
      <c r="G58" s="102"/>
      <c r="H58" s="102"/>
      <c r="I58" s="102"/>
      <c r="J58" s="102"/>
    </row>
    <row r="59" spans="1:11">
      <c r="A59" s="13" t="s">
        <v>15</v>
      </c>
      <c r="B59" s="11" t="s">
        <v>4856</v>
      </c>
      <c r="C59" s="11" t="s">
        <v>4857</v>
      </c>
      <c r="D59" s="11" t="s">
        <v>5016</v>
      </c>
      <c r="E59" s="11" t="s">
        <v>1238</v>
      </c>
      <c r="F59" s="12" t="s">
        <v>4964</v>
      </c>
      <c r="G59" s="12" t="s">
        <v>4983</v>
      </c>
      <c r="H59" s="12" t="s">
        <v>4987</v>
      </c>
      <c r="I59" s="12" t="s">
        <v>5017</v>
      </c>
      <c r="J59" s="37" t="str">
        <f>"94,0"</f>
        <v>94,0</v>
      </c>
      <c r="K59" s="11" t="s">
        <v>4858</v>
      </c>
    </row>
    <row r="60" spans="1:11">
      <c r="A60" s="17" t="s">
        <v>62</v>
      </c>
      <c r="B60" s="14" t="s">
        <v>5018</v>
      </c>
      <c r="C60" s="14" t="s">
        <v>5019</v>
      </c>
      <c r="D60" s="14" t="s">
        <v>5020</v>
      </c>
      <c r="E60" s="14" t="s">
        <v>5021</v>
      </c>
      <c r="F60" s="15" t="s">
        <v>4983</v>
      </c>
      <c r="G60" s="16" t="s">
        <v>4987</v>
      </c>
      <c r="H60" s="16" t="s">
        <v>4987</v>
      </c>
      <c r="I60" s="17"/>
      <c r="J60" s="40" t="str">
        <f>"91,5"</f>
        <v>91,5</v>
      </c>
      <c r="K60" s="14" t="s">
        <v>5022</v>
      </c>
    </row>
    <row r="61" spans="1:11">
      <c r="A61" s="17" t="s">
        <v>73</v>
      </c>
      <c r="B61" s="14" t="s">
        <v>5023</v>
      </c>
      <c r="C61" s="14" t="s">
        <v>5024</v>
      </c>
      <c r="D61" s="14" t="s">
        <v>5025</v>
      </c>
      <c r="E61" s="14" t="s">
        <v>650</v>
      </c>
      <c r="F61" s="15" t="s">
        <v>4943</v>
      </c>
      <c r="G61" s="16" t="s">
        <v>4964</v>
      </c>
      <c r="H61" s="17"/>
      <c r="I61" s="17"/>
      <c r="J61" s="40" t="str">
        <f>"79,0"</f>
        <v>79,0</v>
      </c>
      <c r="K61" s="14" t="s">
        <v>158</v>
      </c>
    </row>
    <row r="62" spans="1:11">
      <c r="A62" s="17" t="s">
        <v>15</v>
      </c>
      <c r="B62" s="14" t="s">
        <v>5026</v>
      </c>
      <c r="C62" s="14" t="s">
        <v>5027</v>
      </c>
      <c r="D62" s="14" t="s">
        <v>5028</v>
      </c>
      <c r="E62" s="14" t="s">
        <v>91</v>
      </c>
      <c r="F62" s="16" t="s">
        <v>4951</v>
      </c>
      <c r="G62" s="15" t="s">
        <v>5007</v>
      </c>
      <c r="H62" s="15" t="s">
        <v>4953</v>
      </c>
      <c r="I62" s="17"/>
      <c r="J62" s="40" t="str">
        <f>"66,5"</f>
        <v>66,5</v>
      </c>
      <c r="K62" s="14" t="s">
        <v>158</v>
      </c>
    </row>
    <row r="63" spans="1:11">
      <c r="A63" s="20" t="s">
        <v>62</v>
      </c>
      <c r="B63" s="18" t="s">
        <v>5029</v>
      </c>
      <c r="C63" s="18" t="s">
        <v>5030</v>
      </c>
      <c r="D63" s="18" t="s">
        <v>4041</v>
      </c>
      <c r="E63" s="18" t="s">
        <v>2418</v>
      </c>
      <c r="F63" s="19" t="s">
        <v>5031</v>
      </c>
      <c r="G63" s="19" t="s">
        <v>4945</v>
      </c>
      <c r="H63" s="19" t="s">
        <v>4980</v>
      </c>
      <c r="I63" s="20"/>
      <c r="J63" s="38" t="str">
        <f>"56,5"</f>
        <v>56,5</v>
      </c>
      <c r="K63" s="18" t="s">
        <v>4212</v>
      </c>
    </row>
    <row r="64" spans="1:11">
      <c r="B64" s="5" t="s">
        <v>40</v>
      </c>
    </row>
    <row r="67" spans="2:5" ht="18">
      <c r="B67" s="23" t="s">
        <v>830</v>
      </c>
      <c r="C67" s="23"/>
      <c r="E67" s="3"/>
    </row>
    <row r="68" spans="2:5" ht="15.95">
      <c r="B68" s="95" t="s">
        <v>831</v>
      </c>
      <c r="C68" s="95"/>
      <c r="E68" s="3"/>
    </row>
    <row r="69" spans="2:5" ht="14.1">
      <c r="B69" s="24"/>
      <c r="C69" s="24" t="s">
        <v>832</v>
      </c>
      <c r="E69" s="3"/>
    </row>
    <row r="70" spans="2:5" ht="14.1">
      <c r="B70" s="4" t="s">
        <v>833</v>
      </c>
      <c r="C70" s="4" t="s">
        <v>834</v>
      </c>
      <c r="D70" s="4" t="s">
        <v>2294</v>
      </c>
      <c r="E70" s="3"/>
    </row>
    <row r="71" spans="2:5">
      <c r="B71" s="5" t="s">
        <v>4903</v>
      </c>
      <c r="C71" s="5" t="s">
        <v>832</v>
      </c>
      <c r="D71" s="6" t="s">
        <v>83</v>
      </c>
      <c r="E71" s="3"/>
    </row>
    <row r="72" spans="2:5">
      <c r="B72" s="5" t="s">
        <v>4908</v>
      </c>
      <c r="C72" s="5" t="s">
        <v>832</v>
      </c>
      <c r="D72" s="6" t="s">
        <v>4905</v>
      </c>
      <c r="E72" s="3"/>
    </row>
    <row r="73" spans="2:5">
      <c r="B73" s="5" t="s">
        <v>4922</v>
      </c>
      <c r="C73" s="5" t="s">
        <v>832</v>
      </c>
      <c r="D73" s="6" t="s">
        <v>4923</v>
      </c>
      <c r="E73" s="3"/>
    </row>
    <row r="74" spans="2:5">
      <c r="E74" s="3"/>
    </row>
    <row r="75" spans="2:5" ht="15.95">
      <c r="B75" s="95" t="s">
        <v>855</v>
      </c>
      <c r="C75" s="95"/>
      <c r="E75" s="3"/>
    </row>
    <row r="76" spans="2:5" ht="14.1">
      <c r="B76" s="24"/>
      <c r="C76" s="24" t="s">
        <v>832</v>
      </c>
      <c r="E76" s="3"/>
    </row>
    <row r="77" spans="2:5" ht="14.1">
      <c r="B77" s="4" t="s">
        <v>833</v>
      </c>
      <c r="C77" s="4" t="s">
        <v>834</v>
      </c>
      <c r="D77" s="4" t="s">
        <v>2294</v>
      </c>
      <c r="E77" s="3"/>
    </row>
    <row r="78" spans="2:5">
      <c r="B78" s="30" t="s">
        <v>4856</v>
      </c>
      <c r="C78" s="5" t="s">
        <v>832</v>
      </c>
      <c r="D78" s="6" t="s">
        <v>4987</v>
      </c>
      <c r="E78" s="3"/>
    </row>
    <row r="79" spans="2:5">
      <c r="B79" s="5" t="s">
        <v>4981</v>
      </c>
      <c r="C79" s="5" t="s">
        <v>832</v>
      </c>
      <c r="D79" s="6" t="s">
        <v>4983</v>
      </c>
      <c r="E79" s="3"/>
    </row>
    <row r="80" spans="2:5">
      <c r="B80" s="30" t="s">
        <v>5018</v>
      </c>
      <c r="C80" s="5" t="s">
        <v>832</v>
      </c>
      <c r="D80" s="6" t="s">
        <v>4983</v>
      </c>
      <c r="E80" s="3"/>
    </row>
    <row r="81" spans="2:5">
      <c r="B81" s="30"/>
      <c r="D81" s="6"/>
      <c r="E81" s="3"/>
    </row>
    <row r="82" spans="2:5" ht="14.1">
      <c r="B82" s="24"/>
      <c r="C82" s="24" t="s">
        <v>847</v>
      </c>
      <c r="E82" s="3"/>
    </row>
    <row r="83" spans="2:5" ht="14.1">
      <c r="B83" s="4" t="s">
        <v>833</v>
      </c>
      <c r="C83" s="4" t="s">
        <v>834</v>
      </c>
      <c r="D83" s="4" t="s">
        <v>2294</v>
      </c>
      <c r="E83" s="3"/>
    </row>
    <row r="84" spans="2:5">
      <c r="B84" s="30" t="s">
        <v>4995</v>
      </c>
      <c r="C84" s="5" t="s">
        <v>848</v>
      </c>
      <c r="D84" s="6" t="s">
        <v>4804</v>
      </c>
      <c r="E84" s="3"/>
    </row>
    <row r="85" spans="2:5">
      <c r="B85" s="30" t="s">
        <v>4999</v>
      </c>
      <c r="C85" s="5" t="s">
        <v>848</v>
      </c>
      <c r="D85" s="6" t="s">
        <v>4979</v>
      </c>
      <c r="E85" s="3"/>
    </row>
    <row r="86" spans="2:5">
      <c r="B86" s="5" t="s">
        <v>4976</v>
      </c>
      <c r="C86" s="5" t="s">
        <v>848</v>
      </c>
      <c r="D86" s="6" t="s">
        <v>4979</v>
      </c>
      <c r="E86" s="3"/>
    </row>
    <row r="87" spans="2:5">
      <c r="B87" s="5" t="s">
        <v>40</v>
      </c>
    </row>
  </sheetData>
  <mergeCells count="19">
    <mergeCell ref="A28:J28"/>
    <mergeCell ref="A32:J32"/>
    <mergeCell ref="A42:J42"/>
    <mergeCell ref="A51:J51"/>
    <mergeCell ref="A58:J58"/>
    <mergeCell ref="A5:J5"/>
    <mergeCell ref="A8:J8"/>
    <mergeCell ref="A14:J14"/>
    <mergeCell ref="A19:J19"/>
    <mergeCell ref="A22:J22"/>
    <mergeCell ref="J3:J4"/>
    <mergeCell ref="A1:K2"/>
    <mergeCell ref="F3:I3"/>
    <mergeCell ref="A3:A4"/>
    <mergeCell ref="C3:C4"/>
    <mergeCell ref="D3:D4"/>
    <mergeCell ref="K3:K4"/>
    <mergeCell ref="E3:E4"/>
    <mergeCell ref="B3:B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K60"/>
  <sheetViews>
    <sheetView workbookViewId="0">
      <selection sqref="A1:K2"/>
    </sheetView>
  </sheetViews>
  <sheetFormatPr defaultColWidth="9.140625" defaultRowHeight="12.95"/>
  <cols>
    <col min="1" max="1" width="7.42578125" style="6" bestFit="1" customWidth="1"/>
    <col min="2" max="2" width="19.42578125" style="5" bestFit="1" customWidth="1"/>
    <col min="3" max="3" width="28.42578125" style="5" bestFit="1" customWidth="1"/>
    <col min="4" max="4" width="21.42578125" style="5" bestFit="1" customWidth="1"/>
    <col min="5" max="5" width="23.42578125" style="5" bestFit="1" customWidth="1"/>
    <col min="6" max="9" width="5.42578125" style="6" bestFit="1" customWidth="1"/>
    <col min="10" max="10" width="7.85546875" style="39" bestFit="1" customWidth="1"/>
    <col min="11" max="11" width="22.140625" style="5" customWidth="1"/>
    <col min="12" max="16384" width="9.140625" style="3"/>
  </cols>
  <sheetData>
    <row r="1" spans="1:11" s="2" customFormat="1" ht="29.1" customHeight="1">
      <c r="A1" s="103" t="s">
        <v>5032</v>
      </c>
      <c r="B1" s="104"/>
      <c r="C1" s="105"/>
      <c r="D1" s="105"/>
      <c r="E1" s="105"/>
      <c r="F1" s="105"/>
      <c r="G1" s="105"/>
      <c r="H1" s="105"/>
      <c r="I1" s="105"/>
      <c r="J1" s="105"/>
      <c r="K1" s="106"/>
    </row>
    <row r="2" spans="1:11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1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6</v>
      </c>
      <c r="F3" s="114" t="s">
        <v>4897</v>
      </c>
      <c r="G3" s="114"/>
      <c r="H3" s="114"/>
      <c r="I3" s="114"/>
      <c r="J3" s="117" t="s">
        <v>10</v>
      </c>
      <c r="K3" s="99" t="s">
        <v>12</v>
      </c>
    </row>
    <row r="4" spans="1:11" s="1" customFormat="1" ht="21" customHeight="1" thickBot="1">
      <c r="A4" s="111"/>
      <c r="B4" s="116"/>
      <c r="C4" s="113"/>
      <c r="D4" s="113"/>
      <c r="E4" s="113"/>
      <c r="F4" s="96">
        <v>1</v>
      </c>
      <c r="G4" s="96">
        <v>2</v>
      </c>
      <c r="H4" s="96">
        <v>3</v>
      </c>
      <c r="I4" s="96" t="s">
        <v>13</v>
      </c>
      <c r="J4" s="118"/>
      <c r="K4" s="100"/>
    </row>
    <row r="5" spans="1:11" ht="15.95">
      <c r="A5" s="101" t="s">
        <v>301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1">
      <c r="A6" s="13" t="s">
        <v>15</v>
      </c>
      <c r="B6" s="11" t="s">
        <v>259</v>
      </c>
      <c r="C6" s="11" t="s">
        <v>260</v>
      </c>
      <c r="D6" s="11" t="s">
        <v>2478</v>
      </c>
      <c r="E6" s="11" t="s">
        <v>262</v>
      </c>
      <c r="F6" s="12" t="s">
        <v>80</v>
      </c>
      <c r="G6" s="12" t="s">
        <v>67</v>
      </c>
      <c r="H6" s="12" t="s">
        <v>36</v>
      </c>
      <c r="I6" s="13"/>
      <c r="J6" s="37" t="str">
        <f>"90,0"</f>
        <v>90,0</v>
      </c>
      <c r="K6" s="11" t="s">
        <v>263</v>
      </c>
    </row>
    <row r="7" spans="1:11">
      <c r="A7" s="17" t="s">
        <v>92</v>
      </c>
      <c r="B7" s="14" t="s">
        <v>5033</v>
      </c>
      <c r="C7" s="14" t="s">
        <v>5034</v>
      </c>
      <c r="D7" s="14" t="s">
        <v>2231</v>
      </c>
      <c r="E7" s="14" t="s">
        <v>2108</v>
      </c>
      <c r="F7" s="16" t="s">
        <v>80</v>
      </c>
      <c r="G7" s="16" t="s">
        <v>80</v>
      </c>
      <c r="H7" s="16" t="s">
        <v>80</v>
      </c>
      <c r="I7" s="17"/>
      <c r="J7" s="40">
        <v>0</v>
      </c>
      <c r="K7" s="14" t="s">
        <v>5035</v>
      </c>
    </row>
    <row r="8" spans="1:11">
      <c r="A8" s="20" t="s">
        <v>92</v>
      </c>
      <c r="B8" s="18" t="s">
        <v>5033</v>
      </c>
      <c r="C8" s="18" t="s">
        <v>5036</v>
      </c>
      <c r="D8" s="18" t="s">
        <v>2231</v>
      </c>
      <c r="E8" s="18" t="s">
        <v>2108</v>
      </c>
      <c r="F8" s="22" t="s">
        <v>80</v>
      </c>
      <c r="G8" s="22" t="s">
        <v>80</v>
      </c>
      <c r="H8" s="22" t="s">
        <v>80</v>
      </c>
      <c r="I8" s="20"/>
      <c r="J8" s="38">
        <v>0</v>
      </c>
      <c r="K8" s="18" t="s">
        <v>5035</v>
      </c>
    </row>
    <row r="9" spans="1:11">
      <c r="B9" s="5" t="s">
        <v>40</v>
      </c>
    </row>
    <row r="10" spans="1:11" ht="15.95">
      <c r="A10" s="102" t="s">
        <v>4938</v>
      </c>
      <c r="B10" s="102"/>
      <c r="C10" s="102"/>
      <c r="D10" s="102"/>
      <c r="E10" s="102"/>
      <c r="F10" s="102"/>
      <c r="G10" s="102"/>
      <c r="H10" s="102"/>
      <c r="I10" s="102"/>
      <c r="J10" s="102"/>
    </row>
    <row r="11" spans="1:11">
      <c r="A11" s="13" t="s">
        <v>15</v>
      </c>
      <c r="B11" s="11" t="s">
        <v>5037</v>
      </c>
      <c r="C11" s="11" t="s">
        <v>5038</v>
      </c>
      <c r="D11" s="11" t="s">
        <v>2372</v>
      </c>
      <c r="E11" s="11" t="s">
        <v>5014</v>
      </c>
      <c r="F11" s="21" t="s">
        <v>38</v>
      </c>
      <c r="G11" s="12" t="s">
        <v>69</v>
      </c>
      <c r="H11" s="12" t="s">
        <v>70</v>
      </c>
      <c r="I11" s="13"/>
      <c r="J11" s="37" t="str">
        <f>"120,0"</f>
        <v>120,0</v>
      </c>
      <c r="K11" s="11" t="s">
        <v>158</v>
      </c>
    </row>
    <row r="12" spans="1:11">
      <c r="A12" s="17" t="s">
        <v>15</v>
      </c>
      <c r="B12" s="14" t="s">
        <v>3983</v>
      </c>
      <c r="C12" s="14" t="s">
        <v>3984</v>
      </c>
      <c r="D12" s="14" t="s">
        <v>3985</v>
      </c>
      <c r="E12" s="14" t="s">
        <v>66</v>
      </c>
      <c r="F12" s="15" t="s">
        <v>38</v>
      </c>
      <c r="G12" s="15" t="s">
        <v>69</v>
      </c>
      <c r="H12" s="15" t="s">
        <v>70</v>
      </c>
      <c r="I12" s="17"/>
      <c r="J12" s="40" t="str">
        <f>"120,0"</f>
        <v>120,0</v>
      </c>
      <c r="K12" s="14" t="s">
        <v>158</v>
      </c>
    </row>
    <row r="13" spans="1:11">
      <c r="A13" s="17" t="s">
        <v>15</v>
      </c>
      <c r="B13" s="14" t="s">
        <v>3983</v>
      </c>
      <c r="C13" s="14" t="s">
        <v>3987</v>
      </c>
      <c r="D13" s="14" t="s">
        <v>3985</v>
      </c>
      <c r="E13" s="14" t="s">
        <v>66</v>
      </c>
      <c r="F13" s="15" t="s">
        <v>38</v>
      </c>
      <c r="G13" s="15" t="s">
        <v>69</v>
      </c>
      <c r="H13" s="15" t="s">
        <v>70</v>
      </c>
      <c r="I13" s="17"/>
      <c r="J13" s="40" t="str">
        <f>"120,0"</f>
        <v>120,0</v>
      </c>
      <c r="K13" s="14" t="s">
        <v>158</v>
      </c>
    </row>
    <row r="14" spans="1:11">
      <c r="A14" s="20" t="s">
        <v>15</v>
      </c>
      <c r="B14" s="18" t="s">
        <v>4947</v>
      </c>
      <c r="C14" s="18" t="s">
        <v>4948</v>
      </c>
      <c r="D14" s="18" t="s">
        <v>4949</v>
      </c>
      <c r="E14" s="18" t="s">
        <v>5039</v>
      </c>
      <c r="F14" s="19" t="s">
        <v>147</v>
      </c>
      <c r="G14" s="19" t="s">
        <v>346</v>
      </c>
      <c r="H14" s="19" t="s">
        <v>204</v>
      </c>
      <c r="I14" s="22" t="s">
        <v>60</v>
      </c>
      <c r="J14" s="38" t="str">
        <f>"147,5"</f>
        <v>147,5</v>
      </c>
      <c r="K14" s="18" t="s">
        <v>158</v>
      </c>
    </row>
    <row r="15" spans="1:11">
      <c r="B15" s="5" t="s">
        <v>40</v>
      </c>
    </row>
    <row r="16" spans="1:11" ht="15.95">
      <c r="A16" s="102" t="s">
        <v>4954</v>
      </c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:11">
      <c r="A17" s="13" t="s">
        <v>15</v>
      </c>
      <c r="B17" s="11" t="s">
        <v>5040</v>
      </c>
      <c r="C17" s="11" t="s">
        <v>5041</v>
      </c>
      <c r="D17" s="11" t="s">
        <v>2636</v>
      </c>
      <c r="E17" s="11" t="s">
        <v>5042</v>
      </c>
      <c r="F17" s="12" t="s">
        <v>398</v>
      </c>
      <c r="G17" s="21" t="s">
        <v>392</v>
      </c>
      <c r="H17" s="21" t="s">
        <v>392</v>
      </c>
      <c r="I17" s="13"/>
      <c r="J17" s="37" t="str">
        <f>"180,0"</f>
        <v>180,0</v>
      </c>
      <c r="K17" s="11" t="s">
        <v>158</v>
      </c>
    </row>
    <row r="18" spans="1:11">
      <c r="A18" s="17" t="s">
        <v>62</v>
      </c>
      <c r="B18" s="14" t="s">
        <v>5043</v>
      </c>
      <c r="C18" s="14" t="s">
        <v>5044</v>
      </c>
      <c r="D18" s="14" t="s">
        <v>331</v>
      </c>
      <c r="E18" s="14" t="s">
        <v>1063</v>
      </c>
      <c r="F18" s="15" t="s">
        <v>69</v>
      </c>
      <c r="G18" s="15" t="s">
        <v>85</v>
      </c>
      <c r="H18" s="16" t="s">
        <v>147</v>
      </c>
      <c r="I18" s="17"/>
      <c r="J18" s="40" t="str">
        <f>"127,5"</f>
        <v>127,5</v>
      </c>
      <c r="K18" s="14" t="s">
        <v>5045</v>
      </c>
    </row>
    <row r="19" spans="1:11">
      <c r="A19" s="17" t="s">
        <v>73</v>
      </c>
      <c r="B19" s="14" t="s">
        <v>5046</v>
      </c>
      <c r="C19" s="14" t="s">
        <v>5047</v>
      </c>
      <c r="D19" s="14" t="s">
        <v>396</v>
      </c>
      <c r="E19" s="14" t="s">
        <v>3317</v>
      </c>
      <c r="F19" s="15" t="s">
        <v>38</v>
      </c>
      <c r="G19" s="15" t="s">
        <v>69</v>
      </c>
      <c r="H19" s="15" t="s">
        <v>56</v>
      </c>
      <c r="I19" s="17"/>
      <c r="J19" s="40" t="str">
        <f>"115,0"</f>
        <v>115,0</v>
      </c>
      <c r="K19" s="14" t="s">
        <v>158</v>
      </c>
    </row>
    <row r="20" spans="1:11">
      <c r="A20" s="20" t="s">
        <v>15</v>
      </c>
      <c r="B20" s="18" t="s">
        <v>5048</v>
      </c>
      <c r="C20" s="18" t="s">
        <v>5049</v>
      </c>
      <c r="D20" s="18" t="s">
        <v>1421</v>
      </c>
      <c r="E20" s="18" t="s">
        <v>91</v>
      </c>
      <c r="F20" s="19" t="s">
        <v>81</v>
      </c>
      <c r="G20" s="19" t="s">
        <v>38</v>
      </c>
      <c r="H20" s="22" t="s">
        <v>47</v>
      </c>
      <c r="I20" s="20"/>
      <c r="J20" s="38" t="str">
        <f>"100,0"</f>
        <v>100,0</v>
      </c>
      <c r="K20" s="18" t="s">
        <v>158</v>
      </c>
    </row>
    <row r="21" spans="1:11">
      <c r="B21" s="5" t="s">
        <v>40</v>
      </c>
    </row>
    <row r="22" spans="1:11" ht="15.95">
      <c r="A22" s="102" t="s">
        <v>598</v>
      </c>
      <c r="B22" s="102"/>
      <c r="C22" s="102"/>
      <c r="D22" s="102"/>
      <c r="E22" s="102"/>
      <c r="F22" s="102"/>
      <c r="G22" s="102"/>
      <c r="H22" s="102"/>
      <c r="I22" s="102"/>
      <c r="J22" s="102"/>
    </row>
    <row r="23" spans="1:11">
      <c r="A23" s="13" t="s">
        <v>15</v>
      </c>
      <c r="B23" s="11" t="s">
        <v>4967</v>
      </c>
      <c r="C23" s="11" t="s">
        <v>4968</v>
      </c>
      <c r="D23" s="11" t="s">
        <v>1486</v>
      </c>
      <c r="E23" s="11" t="s">
        <v>4969</v>
      </c>
      <c r="F23" s="12" t="s">
        <v>60</v>
      </c>
      <c r="G23" s="12" t="s">
        <v>151</v>
      </c>
      <c r="H23" s="12" t="s">
        <v>248</v>
      </c>
      <c r="I23" s="13"/>
      <c r="J23" s="37" t="str">
        <f>"170,0"</f>
        <v>170,0</v>
      </c>
      <c r="K23" s="11" t="s">
        <v>158</v>
      </c>
    </row>
    <row r="24" spans="1:11">
      <c r="A24" s="17" t="s">
        <v>62</v>
      </c>
      <c r="B24" s="14" t="s">
        <v>5050</v>
      </c>
      <c r="C24" s="14" t="s">
        <v>4542</v>
      </c>
      <c r="D24" s="14" t="s">
        <v>660</v>
      </c>
      <c r="E24" s="14" t="s">
        <v>2714</v>
      </c>
      <c r="F24" s="15" t="s">
        <v>204</v>
      </c>
      <c r="G24" s="16" t="s">
        <v>151</v>
      </c>
      <c r="H24" s="16" t="s">
        <v>151</v>
      </c>
      <c r="I24" s="17"/>
      <c r="J24" s="40" t="str">
        <f>"147,5"</f>
        <v>147,5</v>
      </c>
      <c r="K24" s="14" t="s">
        <v>158</v>
      </c>
    </row>
    <row r="25" spans="1:11">
      <c r="A25" s="20" t="s">
        <v>15</v>
      </c>
      <c r="B25" s="34" t="s">
        <v>4970</v>
      </c>
      <c r="C25" s="18" t="s">
        <v>5051</v>
      </c>
      <c r="D25" s="18" t="s">
        <v>1720</v>
      </c>
      <c r="E25" s="18" t="s">
        <v>4972</v>
      </c>
      <c r="F25" s="19" t="s">
        <v>151</v>
      </c>
      <c r="G25" s="19" t="s">
        <v>152</v>
      </c>
      <c r="H25" s="22" t="s">
        <v>347</v>
      </c>
      <c r="I25" s="20"/>
      <c r="J25" s="38" t="str">
        <f>"165,0"</f>
        <v>165,0</v>
      </c>
      <c r="K25" s="18" t="s">
        <v>158</v>
      </c>
    </row>
    <row r="26" spans="1:11">
      <c r="B26" s="5" t="s">
        <v>40</v>
      </c>
    </row>
    <row r="27" spans="1:11" ht="15.95">
      <c r="A27" s="102" t="s">
        <v>670</v>
      </c>
      <c r="B27" s="102"/>
      <c r="C27" s="102"/>
      <c r="D27" s="102"/>
      <c r="E27" s="102"/>
      <c r="F27" s="102"/>
      <c r="G27" s="102"/>
      <c r="H27" s="102"/>
      <c r="I27" s="102"/>
      <c r="J27" s="102"/>
    </row>
    <row r="28" spans="1:11">
      <c r="A28" s="13" t="s">
        <v>15</v>
      </c>
      <c r="B28" s="11" t="s">
        <v>5052</v>
      </c>
      <c r="C28" s="11" t="s">
        <v>5053</v>
      </c>
      <c r="D28" s="11" t="s">
        <v>5054</v>
      </c>
      <c r="E28" s="11" t="s">
        <v>96</v>
      </c>
      <c r="F28" s="12" t="s">
        <v>59</v>
      </c>
      <c r="G28" s="21" t="s">
        <v>60</v>
      </c>
      <c r="H28" s="21" t="s">
        <v>60</v>
      </c>
      <c r="I28" s="13"/>
      <c r="J28" s="37" t="str">
        <f>"145,0"</f>
        <v>145,0</v>
      </c>
      <c r="K28" s="11" t="s">
        <v>158</v>
      </c>
    </row>
    <row r="29" spans="1:11">
      <c r="A29" s="17" t="s">
        <v>15</v>
      </c>
      <c r="B29" s="33" t="s">
        <v>4995</v>
      </c>
      <c r="C29" s="14" t="s">
        <v>4996</v>
      </c>
      <c r="D29" s="14" t="s">
        <v>3690</v>
      </c>
      <c r="E29" s="14" t="s">
        <v>828</v>
      </c>
      <c r="F29" s="15" t="s">
        <v>151</v>
      </c>
      <c r="G29" s="15" t="s">
        <v>347</v>
      </c>
      <c r="H29" s="15" t="s">
        <v>351</v>
      </c>
      <c r="I29" s="17"/>
      <c r="J29" s="40" t="str">
        <f>"175,0"</f>
        <v>175,0</v>
      </c>
      <c r="K29" s="14" t="s">
        <v>4998</v>
      </c>
    </row>
    <row r="30" spans="1:11">
      <c r="A30" s="20" t="s">
        <v>15</v>
      </c>
      <c r="B30" s="18" t="s">
        <v>5003</v>
      </c>
      <c r="C30" s="18" t="s">
        <v>5004</v>
      </c>
      <c r="D30" s="18" t="s">
        <v>5005</v>
      </c>
      <c r="E30" s="18" t="s">
        <v>5055</v>
      </c>
      <c r="F30" s="19" t="s">
        <v>70</v>
      </c>
      <c r="G30" s="19" t="s">
        <v>145</v>
      </c>
      <c r="H30" s="19" t="s">
        <v>71</v>
      </c>
      <c r="I30" s="20"/>
      <c r="J30" s="38" t="str">
        <f>"130,0"</f>
        <v>130,0</v>
      </c>
      <c r="K30" s="18" t="s">
        <v>158</v>
      </c>
    </row>
    <row r="31" spans="1:11">
      <c r="B31" s="5" t="s">
        <v>40</v>
      </c>
    </row>
    <row r="32" spans="1:11" ht="15.95">
      <c r="A32" s="102" t="s">
        <v>724</v>
      </c>
      <c r="B32" s="102"/>
      <c r="C32" s="102"/>
      <c r="D32" s="102"/>
      <c r="E32" s="102"/>
      <c r="F32" s="102"/>
      <c r="G32" s="102"/>
      <c r="H32" s="102"/>
      <c r="I32" s="102"/>
      <c r="J32" s="102"/>
    </row>
    <row r="33" spans="1:11">
      <c r="A33" s="13" t="s">
        <v>15</v>
      </c>
      <c r="B33" s="11" t="s">
        <v>4846</v>
      </c>
      <c r="C33" s="11" t="s">
        <v>5008</v>
      </c>
      <c r="D33" s="11" t="s">
        <v>4211</v>
      </c>
      <c r="E33" s="11" t="s">
        <v>5010</v>
      </c>
      <c r="F33" s="12" t="s">
        <v>60</v>
      </c>
      <c r="G33" s="12" t="s">
        <v>151</v>
      </c>
      <c r="H33" s="21" t="s">
        <v>152</v>
      </c>
      <c r="I33" s="13"/>
      <c r="J33" s="37" t="str">
        <f>"160,0"</f>
        <v>160,0</v>
      </c>
      <c r="K33" s="11" t="s">
        <v>158</v>
      </c>
    </row>
    <row r="34" spans="1:11">
      <c r="A34" s="17" t="s">
        <v>62</v>
      </c>
      <c r="B34" s="14" t="s">
        <v>5056</v>
      </c>
      <c r="C34" s="14" t="s">
        <v>3470</v>
      </c>
      <c r="D34" s="14" t="s">
        <v>766</v>
      </c>
      <c r="E34" s="14" t="s">
        <v>176</v>
      </c>
      <c r="F34" s="15" t="s">
        <v>71</v>
      </c>
      <c r="G34" s="16" t="s">
        <v>58</v>
      </c>
      <c r="H34" s="15" t="s">
        <v>58</v>
      </c>
      <c r="I34" s="17"/>
      <c r="J34" s="40" t="str">
        <f>"140,0"</f>
        <v>140,0</v>
      </c>
      <c r="K34" s="14" t="s">
        <v>158</v>
      </c>
    </row>
    <row r="35" spans="1:11">
      <c r="A35" s="20" t="s">
        <v>15</v>
      </c>
      <c r="B35" s="18" t="s">
        <v>4846</v>
      </c>
      <c r="C35" s="18" t="s">
        <v>4847</v>
      </c>
      <c r="D35" s="18" t="s">
        <v>4211</v>
      </c>
      <c r="E35" s="18" t="s">
        <v>5010</v>
      </c>
      <c r="F35" s="19" t="s">
        <v>60</v>
      </c>
      <c r="G35" s="19" t="s">
        <v>151</v>
      </c>
      <c r="H35" s="22" t="s">
        <v>152</v>
      </c>
      <c r="I35" s="20"/>
      <c r="J35" s="38" t="str">
        <f>"160,0"</f>
        <v>160,0</v>
      </c>
      <c r="K35" s="18" t="s">
        <v>158</v>
      </c>
    </row>
    <row r="36" spans="1:11">
      <c r="B36" s="5" t="s">
        <v>40</v>
      </c>
    </row>
    <row r="37" spans="1:11" ht="15.95">
      <c r="A37" s="102" t="s">
        <v>783</v>
      </c>
      <c r="B37" s="102"/>
      <c r="C37" s="102"/>
      <c r="D37" s="102"/>
      <c r="E37" s="102"/>
      <c r="F37" s="102"/>
      <c r="G37" s="102"/>
      <c r="H37" s="102"/>
      <c r="I37" s="102"/>
      <c r="J37" s="102"/>
    </row>
    <row r="38" spans="1:11">
      <c r="A38" s="13" t="s">
        <v>15</v>
      </c>
      <c r="B38" s="11" t="s">
        <v>4856</v>
      </c>
      <c r="C38" s="11" t="s">
        <v>4857</v>
      </c>
      <c r="D38" s="11" t="s">
        <v>5057</v>
      </c>
      <c r="E38" s="11" t="s">
        <v>1238</v>
      </c>
      <c r="F38" s="12" t="s">
        <v>392</v>
      </c>
      <c r="G38" s="12" t="s">
        <v>374</v>
      </c>
      <c r="H38" s="12" t="s">
        <v>384</v>
      </c>
      <c r="I38" s="13"/>
      <c r="J38" s="37" t="str">
        <f>"210,0"</f>
        <v>210,0</v>
      </c>
      <c r="K38" s="11" t="s">
        <v>4858</v>
      </c>
    </row>
    <row r="39" spans="1:11">
      <c r="A39" s="17" t="s">
        <v>62</v>
      </c>
      <c r="B39" s="14" t="s">
        <v>5018</v>
      </c>
      <c r="C39" s="14" t="s">
        <v>5019</v>
      </c>
      <c r="D39" s="14" t="s">
        <v>5020</v>
      </c>
      <c r="E39" s="14" t="s">
        <v>5058</v>
      </c>
      <c r="F39" s="15" t="s">
        <v>454</v>
      </c>
      <c r="G39" s="15" t="s">
        <v>506</v>
      </c>
      <c r="H39" s="15" t="s">
        <v>743</v>
      </c>
      <c r="I39" s="17"/>
      <c r="J39" s="40" t="str">
        <f>"202,5"</f>
        <v>202,5</v>
      </c>
      <c r="K39" s="14" t="s">
        <v>5022</v>
      </c>
    </row>
    <row r="40" spans="1:11">
      <c r="A40" s="20" t="s">
        <v>15</v>
      </c>
      <c r="B40" s="18" t="s">
        <v>5029</v>
      </c>
      <c r="C40" s="18" t="s">
        <v>5030</v>
      </c>
      <c r="D40" s="18" t="s">
        <v>4041</v>
      </c>
      <c r="E40" s="18" t="s">
        <v>2418</v>
      </c>
      <c r="F40" s="19" t="s">
        <v>56</v>
      </c>
      <c r="G40" s="19" t="s">
        <v>70</v>
      </c>
      <c r="H40" s="19" t="s">
        <v>71</v>
      </c>
      <c r="I40" s="20"/>
      <c r="J40" s="38" t="str">
        <f>"130,0"</f>
        <v>130,0</v>
      </c>
      <c r="K40" s="18" t="s">
        <v>4212</v>
      </c>
    </row>
    <row r="41" spans="1:11">
      <c r="B41" s="5" t="s">
        <v>40</v>
      </c>
    </row>
    <row r="42" spans="1:11" ht="15.95">
      <c r="A42" s="102" t="s">
        <v>5059</v>
      </c>
      <c r="B42" s="102"/>
      <c r="C42" s="102"/>
      <c r="D42" s="102"/>
      <c r="E42" s="102"/>
      <c r="F42" s="102"/>
      <c r="G42" s="102"/>
      <c r="H42" s="102"/>
      <c r="I42" s="102"/>
      <c r="J42" s="102"/>
    </row>
    <row r="43" spans="1:11">
      <c r="A43" s="13" t="s">
        <v>15</v>
      </c>
      <c r="B43" s="11" t="s">
        <v>4627</v>
      </c>
      <c r="C43" s="11" t="s">
        <v>4628</v>
      </c>
      <c r="D43" s="11" t="s">
        <v>4629</v>
      </c>
      <c r="E43" s="11" t="s">
        <v>4630</v>
      </c>
      <c r="F43" s="12" t="s">
        <v>392</v>
      </c>
      <c r="G43" s="12" t="s">
        <v>374</v>
      </c>
      <c r="H43" s="21" t="s">
        <v>743</v>
      </c>
      <c r="I43" s="13"/>
      <c r="J43" s="37" t="str">
        <f>"200,0"</f>
        <v>200,0</v>
      </c>
      <c r="K43" s="11" t="s">
        <v>158</v>
      </c>
    </row>
    <row r="44" spans="1:11">
      <c r="A44" s="20" t="s">
        <v>15</v>
      </c>
      <c r="B44" s="18" t="s">
        <v>4627</v>
      </c>
      <c r="C44" s="18" t="s">
        <v>4631</v>
      </c>
      <c r="D44" s="18" t="s">
        <v>4629</v>
      </c>
      <c r="E44" s="18" t="s">
        <v>4630</v>
      </c>
      <c r="F44" s="19" t="s">
        <v>392</v>
      </c>
      <c r="G44" s="19" t="s">
        <v>374</v>
      </c>
      <c r="H44" s="22" t="s">
        <v>743</v>
      </c>
      <c r="I44" s="20"/>
      <c r="J44" s="38" t="str">
        <f>"200,0"</f>
        <v>200,0</v>
      </c>
      <c r="K44" s="18" t="s">
        <v>158</v>
      </c>
    </row>
    <row r="45" spans="1:11">
      <c r="B45" s="5" t="s">
        <v>40</v>
      </c>
    </row>
    <row r="48" spans="1:11" ht="18">
      <c r="B48" s="23" t="s">
        <v>830</v>
      </c>
      <c r="C48" s="23"/>
      <c r="E48" s="3"/>
    </row>
    <row r="49" spans="2:5" ht="15.95">
      <c r="B49" s="95" t="s">
        <v>855</v>
      </c>
      <c r="C49" s="95"/>
      <c r="E49" s="3"/>
    </row>
    <row r="50" spans="2:5" ht="14.1">
      <c r="B50" s="24"/>
      <c r="C50" s="24" t="s">
        <v>832</v>
      </c>
      <c r="E50" s="3"/>
    </row>
    <row r="51" spans="2:5" ht="14.1">
      <c r="B51" s="4" t="s">
        <v>833</v>
      </c>
      <c r="C51" s="4" t="s">
        <v>834</v>
      </c>
      <c r="D51" s="4" t="s">
        <v>2294</v>
      </c>
      <c r="E51" s="3"/>
    </row>
    <row r="52" spans="2:5">
      <c r="B52" s="5" t="s">
        <v>4856</v>
      </c>
      <c r="C52" s="5" t="s">
        <v>832</v>
      </c>
      <c r="D52" s="6" t="s">
        <v>384</v>
      </c>
      <c r="E52" s="3"/>
    </row>
    <row r="53" spans="2:5">
      <c r="B53" s="5" t="s">
        <v>5018</v>
      </c>
      <c r="C53" s="5" t="s">
        <v>832</v>
      </c>
      <c r="D53" s="6" t="s">
        <v>743</v>
      </c>
      <c r="E53" s="3"/>
    </row>
    <row r="54" spans="2:5">
      <c r="B54" s="5" t="s">
        <v>4627</v>
      </c>
      <c r="C54" s="5" t="s">
        <v>832</v>
      </c>
      <c r="D54" s="6" t="s">
        <v>374</v>
      </c>
      <c r="E54" s="3"/>
    </row>
    <row r="55" spans="2:5">
      <c r="E55" s="3"/>
    </row>
    <row r="56" spans="2:5" ht="14.1">
      <c r="B56" s="24"/>
      <c r="C56" s="24" t="s">
        <v>847</v>
      </c>
      <c r="E56" s="3"/>
    </row>
    <row r="57" spans="2:5" ht="14.1">
      <c r="B57" s="4" t="s">
        <v>833</v>
      </c>
      <c r="C57" s="4" t="s">
        <v>834</v>
      </c>
      <c r="D57" s="4" t="s">
        <v>2294</v>
      </c>
      <c r="E57" s="3"/>
    </row>
    <row r="58" spans="2:5">
      <c r="B58" s="5" t="s">
        <v>4627</v>
      </c>
      <c r="C58" s="5" t="s">
        <v>848</v>
      </c>
      <c r="D58" s="6" t="s">
        <v>374</v>
      </c>
      <c r="E58" s="3"/>
    </row>
    <row r="59" spans="2:5">
      <c r="B59" s="30" t="s">
        <v>4995</v>
      </c>
      <c r="C59" s="5" t="s">
        <v>848</v>
      </c>
      <c r="D59" s="6" t="s">
        <v>351</v>
      </c>
      <c r="E59" s="3"/>
    </row>
    <row r="60" spans="2:5">
      <c r="B60" s="30" t="s">
        <v>4970</v>
      </c>
      <c r="C60" s="5" t="s">
        <v>848</v>
      </c>
      <c r="D60" s="6" t="s">
        <v>152</v>
      </c>
      <c r="E60" s="3"/>
    </row>
  </sheetData>
  <mergeCells count="17">
    <mergeCell ref="A22:J22"/>
    <mergeCell ref="A27:J27"/>
    <mergeCell ref="A32:J32"/>
    <mergeCell ref="A37:J37"/>
    <mergeCell ref="A42:J42"/>
    <mergeCell ref="A16:J16"/>
    <mergeCell ref="A1:K2"/>
    <mergeCell ref="A3:A4"/>
    <mergeCell ref="C3:C4"/>
    <mergeCell ref="D3:D4"/>
    <mergeCell ref="E3:E4"/>
    <mergeCell ref="F3:I3"/>
    <mergeCell ref="B3:B4"/>
    <mergeCell ref="J3:J4"/>
    <mergeCell ref="K3:K4"/>
    <mergeCell ref="A5:J5"/>
    <mergeCell ref="A10:J10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K40"/>
  <sheetViews>
    <sheetView workbookViewId="0">
      <selection sqref="A1:K2"/>
    </sheetView>
  </sheetViews>
  <sheetFormatPr defaultColWidth="9.140625" defaultRowHeight="12.95"/>
  <cols>
    <col min="1" max="1" width="7.42578125" style="6" bestFit="1" customWidth="1"/>
    <col min="2" max="2" width="18.42578125" style="5" bestFit="1" customWidth="1"/>
    <col min="3" max="3" width="28.42578125" style="5" bestFit="1" customWidth="1"/>
    <col min="4" max="4" width="21.42578125" style="5" bestFit="1" customWidth="1"/>
    <col min="5" max="5" width="18.42578125" style="5" bestFit="1" customWidth="1"/>
    <col min="6" max="8" width="4.42578125" style="6" bestFit="1" customWidth="1"/>
    <col min="9" max="9" width="4.85546875" style="6" bestFit="1" customWidth="1"/>
    <col min="10" max="10" width="7.85546875" style="25" bestFit="1" customWidth="1"/>
    <col min="11" max="11" width="21.42578125" style="5" customWidth="1"/>
    <col min="12" max="16384" width="9.140625" style="3"/>
  </cols>
  <sheetData>
    <row r="1" spans="1:11" s="2" customFormat="1" ht="29.1" customHeight="1">
      <c r="A1" s="103" t="s">
        <v>5060</v>
      </c>
      <c r="B1" s="104"/>
      <c r="C1" s="105"/>
      <c r="D1" s="105"/>
      <c r="E1" s="105"/>
      <c r="F1" s="105"/>
      <c r="G1" s="105"/>
      <c r="H1" s="105"/>
      <c r="I1" s="105"/>
      <c r="J1" s="105"/>
      <c r="K1" s="106"/>
    </row>
    <row r="2" spans="1:11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1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6</v>
      </c>
      <c r="F3" s="114" t="s">
        <v>4897</v>
      </c>
      <c r="G3" s="114"/>
      <c r="H3" s="114"/>
      <c r="I3" s="114"/>
      <c r="J3" s="119" t="s">
        <v>10</v>
      </c>
      <c r="K3" s="99" t="s">
        <v>12</v>
      </c>
    </row>
    <row r="4" spans="1:11" s="1" customFormat="1" ht="21" customHeight="1" thickBot="1">
      <c r="A4" s="111"/>
      <c r="B4" s="116"/>
      <c r="C4" s="113"/>
      <c r="D4" s="113"/>
      <c r="E4" s="113"/>
      <c r="F4" s="96">
        <v>1</v>
      </c>
      <c r="G4" s="96">
        <v>2</v>
      </c>
      <c r="H4" s="96">
        <v>3</v>
      </c>
      <c r="I4" s="96" t="s">
        <v>13</v>
      </c>
      <c r="J4" s="120"/>
      <c r="K4" s="100"/>
    </row>
    <row r="5" spans="1:11" ht="15.95">
      <c r="A5" s="101" t="s">
        <v>98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1">
      <c r="A6" s="10" t="s">
        <v>15</v>
      </c>
      <c r="B6" s="7" t="s">
        <v>4898</v>
      </c>
      <c r="C6" s="7" t="s">
        <v>4899</v>
      </c>
      <c r="D6" s="7" t="s">
        <v>44</v>
      </c>
      <c r="E6" s="7" t="s">
        <v>650</v>
      </c>
      <c r="F6" s="8" t="s">
        <v>5061</v>
      </c>
      <c r="G6" s="9" t="s">
        <v>5062</v>
      </c>
      <c r="H6" s="8" t="s">
        <v>5062</v>
      </c>
      <c r="I6" s="9" t="s">
        <v>5063</v>
      </c>
      <c r="J6" s="27" t="str">
        <f>"17,5"</f>
        <v>17,5</v>
      </c>
      <c r="K6" s="7" t="s">
        <v>158</v>
      </c>
    </row>
    <row r="7" spans="1:11">
      <c r="B7" s="5" t="s">
        <v>40</v>
      </c>
    </row>
    <row r="8" spans="1:11" ht="15.95">
      <c r="A8" s="102" t="s">
        <v>4954</v>
      </c>
      <c r="B8" s="102"/>
      <c r="C8" s="102"/>
      <c r="D8" s="102"/>
      <c r="E8" s="102"/>
      <c r="F8" s="102"/>
      <c r="G8" s="102"/>
      <c r="H8" s="102"/>
      <c r="I8" s="102"/>
      <c r="J8" s="102"/>
    </row>
    <row r="9" spans="1:11">
      <c r="A9" s="10" t="s">
        <v>15</v>
      </c>
      <c r="B9" s="7" t="s">
        <v>5064</v>
      </c>
      <c r="C9" s="7" t="s">
        <v>5065</v>
      </c>
      <c r="D9" s="7" t="s">
        <v>4328</v>
      </c>
      <c r="E9" s="7" t="s">
        <v>5066</v>
      </c>
      <c r="F9" s="8" t="s">
        <v>4071</v>
      </c>
      <c r="G9" s="9" t="s">
        <v>20</v>
      </c>
      <c r="H9" s="9" t="s">
        <v>20</v>
      </c>
      <c r="I9" s="10"/>
      <c r="J9" s="27" t="str">
        <f>"27,5"</f>
        <v>27,5</v>
      </c>
      <c r="K9" s="7" t="s">
        <v>158</v>
      </c>
    </row>
    <row r="10" spans="1:11">
      <c r="B10" s="5" t="s">
        <v>40</v>
      </c>
    </row>
    <row r="11" spans="1:11" ht="15.95">
      <c r="A11" s="102" t="s">
        <v>598</v>
      </c>
      <c r="B11" s="102"/>
      <c r="C11" s="102"/>
      <c r="D11" s="102"/>
      <c r="E11" s="102"/>
      <c r="F11" s="102"/>
      <c r="G11" s="102"/>
      <c r="H11" s="102"/>
      <c r="I11" s="102"/>
      <c r="J11" s="102"/>
    </row>
    <row r="12" spans="1:11">
      <c r="A12" s="13" t="s">
        <v>15</v>
      </c>
      <c r="B12" s="11" t="s">
        <v>3196</v>
      </c>
      <c r="C12" s="11" t="s">
        <v>3197</v>
      </c>
      <c r="D12" s="11" t="s">
        <v>1085</v>
      </c>
      <c r="E12" s="11" t="s">
        <v>134</v>
      </c>
      <c r="F12" s="12" t="s">
        <v>5061</v>
      </c>
      <c r="G12" s="12" t="s">
        <v>5062</v>
      </c>
      <c r="H12" s="12" t="s">
        <v>23</v>
      </c>
      <c r="I12" s="13"/>
      <c r="J12" s="28" t="str">
        <f>"22,5"</f>
        <v>22,5</v>
      </c>
      <c r="K12" s="11" t="s">
        <v>5067</v>
      </c>
    </row>
    <row r="13" spans="1:11">
      <c r="A13" s="20" t="s">
        <v>15</v>
      </c>
      <c r="B13" s="18" t="s">
        <v>4155</v>
      </c>
      <c r="C13" s="18" t="s">
        <v>5068</v>
      </c>
      <c r="D13" s="18" t="s">
        <v>4147</v>
      </c>
      <c r="E13" s="18" t="s">
        <v>91</v>
      </c>
      <c r="F13" s="19" t="s">
        <v>5062</v>
      </c>
      <c r="G13" s="19" t="s">
        <v>4927</v>
      </c>
      <c r="H13" s="19" t="s">
        <v>23</v>
      </c>
      <c r="I13" s="20"/>
      <c r="J13" s="26" t="str">
        <f>"22,5"</f>
        <v>22,5</v>
      </c>
      <c r="K13" s="18" t="s">
        <v>158</v>
      </c>
    </row>
    <row r="14" spans="1:11">
      <c r="B14" s="5" t="s">
        <v>40</v>
      </c>
    </row>
    <row r="15" spans="1:11" ht="15.95">
      <c r="A15" s="102" t="s">
        <v>670</v>
      </c>
      <c r="B15" s="102"/>
      <c r="C15" s="102"/>
      <c r="D15" s="102"/>
      <c r="E15" s="102"/>
      <c r="F15" s="102"/>
      <c r="G15" s="102"/>
      <c r="H15" s="102"/>
      <c r="I15" s="102"/>
      <c r="J15" s="102"/>
    </row>
    <row r="16" spans="1:11">
      <c r="A16" s="13" t="s">
        <v>15</v>
      </c>
      <c r="B16" s="11" t="s">
        <v>5069</v>
      </c>
      <c r="C16" s="11" t="s">
        <v>5070</v>
      </c>
      <c r="D16" s="11" t="s">
        <v>1757</v>
      </c>
      <c r="E16" s="11" t="s">
        <v>2049</v>
      </c>
      <c r="F16" s="12" t="s">
        <v>5071</v>
      </c>
      <c r="G16" s="12" t="s">
        <v>20</v>
      </c>
      <c r="H16" s="21" t="s">
        <v>5072</v>
      </c>
      <c r="I16" s="13"/>
      <c r="J16" s="28" t="str">
        <f>"35,0"</f>
        <v>35,0</v>
      </c>
      <c r="K16" s="11" t="s">
        <v>5073</v>
      </c>
    </row>
    <row r="17" spans="1:11">
      <c r="A17" s="17" t="s">
        <v>62</v>
      </c>
      <c r="B17" s="14" t="s">
        <v>5074</v>
      </c>
      <c r="C17" s="14" t="s">
        <v>5075</v>
      </c>
      <c r="D17" s="14" t="s">
        <v>5076</v>
      </c>
      <c r="E17" s="14" t="s">
        <v>91</v>
      </c>
      <c r="F17" s="15" t="s">
        <v>24</v>
      </c>
      <c r="G17" s="15" t="s">
        <v>3063</v>
      </c>
      <c r="H17" s="16" t="s">
        <v>4669</v>
      </c>
      <c r="I17" s="17"/>
      <c r="J17" s="43" t="str">
        <f>"30,0"</f>
        <v>30,0</v>
      </c>
      <c r="K17" s="14" t="s">
        <v>5077</v>
      </c>
    </row>
    <row r="18" spans="1:11">
      <c r="A18" s="17" t="s">
        <v>73</v>
      </c>
      <c r="B18" s="14" t="s">
        <v>2135</v>
      </c>
      <c r="C18" s="14" t="s">
        <v>2136</v>
      </c>
      <c r="D18" s="14" t="s">
        <v>5078</v>
      </c>
      <c r="E18" s="14" t="s">
        <v>2137</v>
      </c>
      <c r="F18" s="15" t="s">
        <v>5062</v>
      </c>
      <c r="G18" s="15" t="s">
        <v>23</v>
      </c>
      <c r="H18" s="15" t="s">
        <v>24</v>
      </c>
      <c r="I18" s="17"/>
      <c r="J18" s="43" t="str">
        <f>"25,0"</f>
        <v>25,0</v>
      </c>
      <c r="K18" s="14" t="s">
        <v>158</v>
      </c>
    </row>
    <row r="19" spans="1:11">
      <c r="A19" s="20" t="s">
        <v>15</v>
      </c>
      <c r="B19" s="18" t="s">
        <v>5079</v>
      </c>
      <c r="C19" s="18" t="s">
        <v>5080</v>
      </c>
      <c r="D19" s="18" t="s">
        <v>5081</v>
      </c>
      <c r="E19" s="18" t="s">
        <v>1063</v>
      </c>
      <c r="F19" s="19" t="s">
        <v>4927</v>
      </c>
      <c r="G19" s="19" t="s">
        <v>23</v>
      </c>
      <c r="H19" s="19" t="s">
        <v>24</v>
      </c>
      <c r="I19" s="20"/>
      <c r="J19" s="26" t="str">
        <f>"25,0"</f>
        <v>25,0</v>
      </c>
      <c r="K19" s="18" t="s">
        <v>5077</v>
      </c>
    </row>
    <row r="20" spans="1:11">
      <c r="B20" s="5" t="s">
        <v>40</v>
      </c>
    </row>
    <row r="21" spans="1:11" ht="15.95">
      <c r="A21" s="102" t="s">
        <v>724</v>
      </c>
      <c r="B21" s="102"/>
      <c r="C21" s="102"/>
      <c r="D21" s="102"/>
      <c r="E21" s="102"/>
      <c r="F21" s="102"/>
      <c r="G21" s="102"/>
      <c r="H21" s="102"/>
      <c r="I21" s="102"/>
      <c r="J21" s="102"/>
    </row>
    <row r="22" spans="1:11">
      <c r="A22" s="13" t="s">
        <v>15</v>
      </c>
      <c r="B22" s="11" t="s">
        <v>5082</v>
      </c>
      <c r="C22" s="11" t="s">
        <v>5083</v>
      </c>
      <c r="D22" s="11" t="s">
        <v>1228</v>
      </c>
      <c r="E22" s="11" t="s">
        <v>5084</v>
      </c>
      <c r="F22" s="12" t="s">
        <v>4071</v>
      </c>
      <c r="G22" s="12" t="s">
        <v>3063</v>
      </c>
      <c r="H22" s="12" t="s">
        <v>4669</v>
      </c>
      <c r="I22" s="13"/>
      <c r="J22" s="28" t="str">
        <f>"32,5"</f>
        <v>32,5</v>
      </c>
      <c r="K22" s="11" t="s">
        <v>158</v>
      </c>
    </row>
    <row r="23" spans="1:11">
      <c r="A23" s="20" t="s">
        <v>92</v>
      </c>
      <c r="B23" s="18" t="s">
        <v>4846</v>
      </c>
      <c r="C23" s="18" t="s">
        <v>4847</v>
      </c>
      <c r="D23" s="18" t="s">
        <v>4211</v>
      </c>
      <c r="E23" s="18" t="s">
        <v>5009</v>
      </c>
      <c r="F23" s="22" t="s">
        <v>24</v>
      </c>
      <c r="G23" s="20"/>
      <c r="H23" s="20"/>
      <c r="I23" s="20"/>
      <c r="J23" s="38">
        <v>0</v>
      </c>
      <c r="K23" s="18" t="s">
        <v>158</v>
      </c>
    </row>
    <row r="24" spans="1:11">
      <c r="B24" s="5" t="s">
        <v>40</v>
      </c>
    </row>
    <row r="25" spans="1:11" ht="15.95">
      <c r="A25" s="102" t="s">
        <v>783</v>
      </c>
      <c r="B25" s="102"/>
      <c r="C25" s="102"/>
      <c r="D25" s="102"/>
      <c r="E25" s="102"/>
      <c r="F25" s="102"/>
      <c r="G25" s="102"/>
      <c r="H25" s="102"/>
      <c r="I25" s="102"/>
      <c r="J25" s="102"/>
    </row>
    <row r="26" spans="1:11">
      <c r="A26" s="13" t="s">
        <v>15</v>
      </c>
      <c r="B26" s="11" t="s">
        <v>4856</v>
      </c>
      <c r="C26" s="11" t="s">
        <v>4857</v>
      </c>
      <c r="D26" s="11" t="s">
        <v>5057</v>
      </c>
      <c r="E26" s="11" t="s">
        <v>1238</v>
      </c>
      <c r="F26" s="12" t="s">
        <v>4669</v>
      </c>
      <c r="G26" s="12" t="s">
        <v>20</v>
      </c>
      <c r="H26" s="21" t="s">
        <v>5085</v>
      </c>
      <c r="I26" s="13"/>
      <c r="J26" s="28" t="str">
        <f>"35,0"</f>
        <v>35,0</v>
      </c>
      <c r="K26" s="11" t="s">
        <v>4858</v>
      </c>
    </row>
    <row r="27" spans="1:11">
      <c r="A27" s="20" t="s">
        <v>62</v>
      </c>
      <c r="B27" s="18" t="s">
        <v>5086</v>
      </c>
      <c r="C27" s="18" t="s">
        <v>5087</v>
      </c>
      <c r="D27" s="18" t="s">
        <v>5088</v>
      </c>
      <c r="E27" s="18" t="s">
        <v>1590</v>
      </c>
      <c r="F27" s="19" t="s">
        <v>3063</v>
      </c>
      <c r="G27" s="19" t="s">
        <v>5089</v>
      </c>
      <c r="H27" s="22" t="s">
        <v>5072</v>
      </c>
      <c r="I27" s="20"/>
      <c r="J27" s="26" t="str">
        <f>"33,8"</f>
        <v>33,8</v>
      </c>
      <c r="K27" s="18" t="s">
        <v>158</v>
      </c>
    </row>
    <row r="28" spans="1:11">
      <c r="B28" s="5" t="s">
        <v>40</v>
      </c>
    </row>
    <row r="29" spans="1:11" ht="15.95">
      <c r="A29" s="102" t="s">
        <v>5059</v>
      </c>
      <c r="B29" s="102"/>
      <c r="C29" s="102"/>
      <c r="D29" s="102"/>
      <c r="E29" s="102"/>
      <c r="F29" s="102"/>
      <c r="G29" s="102"/>
      <c r="H29" s="102"/>
      <c r="I29" s="102"/>
      <c r="J29" s="102"/>
    </row>
    <row r="30" spans="1:11">
      <c r="A30" s="10" t="s">
        <v>15</v>
      </c>
      <c r="B30" s="7" t="s">
        <v>5090</v>
      </c>
      <c r="C30" s="7" t="s">
        <v>5091</v>
      </c>
      <c r="D30" s="7" t="s">
        <v>5092</v>
      </c>
      <c r="E30" s="7" t="s">
        <v>2142</v>
      </c>
      <c r="F30" s="8" t="s">
        <v>24</v>
      </c>
      <c r="G30" s="8" t="s">
        <v>3063</v>
      </c>
      <c r="H30" s="9" t="s">
        <v>4669</v>
      </c>
      <c r="I30" s="10"/>
      <c r="J30" s="27" t="str">
        <f>"30,0"</f>
        <v>30,0</v>
      </c>
      <c r="K30" s="7" t="s">
        <v>158</v>
      </c>
    </row>
    <row r="31" spans="1:11">
      <c r="B31" s="5" t="s">
        <v>40</v>
      </c>
    </row>
    <row r="34" spans="2:5" ht="18">
      <c r="B34" s="23" t="s">
        <v>830</v>
      </c>
      <c r="C34" s="23"/>
      <c r="E34" s="3"/>
    </row>
    <row r="35" spans="2:5" ht="15.95">
      <c r="B35" s="95" t="s">
        <v>855</v>
      </c>
      <c r="C35" s="95"/>
      <c r="E35" s="3"/>
    </row>
    <row r="36" spans="2:5" ht="14.1">
      <c r="B36" s="24"/>
      <c r="C36" s="24" t="s">
        <v>832</v>
      </c>
      <c r="E36" s="3"/>
    </row>
    <row r="37" spans="2:5" ht="14.1">
      <c r="B37" s="4" t="s">
        <v>833</v>
      </c>
      <c r="C37" s="4" t="s">
        <v>834</v>
      </c>
      <c r="D37" s="4" t="s">
        <v>2294</v>
      </c>
      <c r="E37" s="3"/>
    </row>
    <row r="38" spans="2:5">
      <c r="B38" s="5" t="s">
        <v>5069</v>
      </c>
      <c r="C38" s="5" t="s">
        <v>832</v>
      </c>
      <c r="D38" s="6" t="s">
        <v>20</v>
      </c>
      <c r="E38" s="3"/>
    </row>
    <row r="39" spans="2:5">
      <c r="B39" s="5" t="s">
        <v>4856</v>
      </c>
      <c r="C39" s="5" t="s">
        <v>832</v>
      </c>
      <c r="D39" s="6" t="s">
        <v>20</v>
      </c>
      <c r="E39" s="3"/>
    </row>
    <row r="40" spans="2:5">
      <c r="B40" s="5" t="s">
        <v>5086</v>
      </c>
      <c r="C40" s="5" t="s">
        <v>832</v>
      </c>
      <c r="D40" s="6" t="s">
        <v>5089</v>
      </c>
      <c r="E40" s="3"/>
    </row>
  </sheetData>
  <mergeCells count="16">
    <mergeCell ref="A15:J15"/>
    <mergeCell ref="A21:J21"/>
    <mergeCell ref="A25:J25"/>
    <mergeCell ref="A29:J29"/>
    <mergeCell ref="B3:B4"/>
    <mergeCell ref="J3:J4"/>
    <mergeCell ref="K3:K4"/>
    <mergeCell ref="A5:J5"/>
    <mergeCell ref="A8:J8"/>
    <mergeCell ref="A11:J11"/>
    <mergeCell ref="A1:K2"/>
    <mergeCell ref="A3:A4"/>
    <mergeCell ref="C3:C4"/>
    <mergeCell ref="D3:D4"/>
    <mergeCell ref="E3:E4"/>
    <mergeCell ref="F3:I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K48"/>
  <sheetViews>
    <sheetView workbookViewId="0">
      <selection sqref="A1:K2"/>
    </sheetView>
  </sheetViews>
  <sheetFormatPr defaultColWidth="9.140625" defaultRowHeight="12.95"/>
  <cols>
    <col min="1" max="1" width="7.42578125" style="6" bestFit="1" customWidth="1"/>
    <col min="2" max="2" width="19.28515625" style="5" bestFit="1" customWidth="1"/>
    <col min="3" max="3" width="28.42578125" style="5" bestFit="1" customWidth="1"/>
    <col min="4" max="4" width="21.42578125" style="5" bestFit="1" customWidth="1"/>
    <col min="5" max="5" width="20.42578125" style="5" bestFit="1" customWidth="1"/>
    <col min="6" max="7" width="4.42578125" style="6" bestFit="1" customWidth="1"/>
    <col min="8" max="9" width="5.42578125" style="6" bestFit="1" customWidth="1"/>
    <col min="10" max="10" width="7.85546875" style="6" bestFit="1" customWidth="1"/>
    <col min="11" max="11" width="22" style="5" customWidth="1"/>
    <col min="12" max="16384" width="9.140625" style="3"/>
  </cols>
  <sheetData>
    <row r="1" spans="1:11" s="2" customFormat="1" ht="29.1" customHeight="1">
      <c r="A1" s="103" t="s">
        <v>5093</v>
      </c>
      <c r="B1" s="104"/>
      <c r="C1" s="105"/>
      <c r="D1" s="105"/>
      <c r="E1" s="105"/>
      <c r="F1" s="105"/>
      <c r="G1" s="105"/>
      <c r="H1" s="105"/>
      <c r="I1" s="105"/>
      <c r="J1" s="105"/>
      <c r="K1" s="106"/>
    </row>
    <row r="2" spans="1:11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1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6</v>
      </c>
      <c r="F3" s="114" t="s">
        <v>4897</v>
      </c>
      <c r="G3" s="114"/>
      <c r="H3" s="114"/>
      <c r="I3" s="114"/>
      <c r="J3" s="114" t="s">
        <v>10</v>
      </c>
      <c r="K3" s="99" t="s">
        <v>12</v>
      </c>
    </row>
    <row r="4" spans="1:11" s="1" customFormat="1" ht="21" customHeight="1" thickBot="1">
      <c r="A4" s="111"/>
      <c r="B4" s="116"/>
      <c r="C4" s="113"/>
      <c r="D4" s="113"/>
      <c r="E4" s="113"/>
      <c r="F4" s="96">
        <v>1</v>
      </c>
      <c r="G4" s="96">
        <v>2</v>
      </c>
      <c r="H4" s="96">
        <v>3</v>
      </c>
      <c r="I4" s="96" t="s">
        <v>13</v>
      </c>
      <c r="J4" s="113"/>
      <c r="K4" s="100"/>
    </row>
    <row r="5" spans="1:11" ht="15.95">
      <c r="A5" s="101" t="s">
        <v>98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1">
      <c r="A6" s="13" t="s">
        <v>15</v>
      </c>
      <c r="B6" s="11" t="s">
        <v>5094</v>
      </c>
      <c r="C6" s="11" t="s">
        <v>5095</v>
      </c>
      <c r="D6" s="11" t="s">
        <v>899</v>
      </c>
      <c r="E6" s="11" t="s">
        <v>91</v>
      </c>
      <c r="F6" s="12" t="s">
        <v>5096</v>
      </c>
      <c r="G6" s="12" t="s">
        <v>5097</v>
      </c>
      <c r="H6" s="12" t="s">
        <v>5098</v>
      </c>
      <c r="I6" s="13"/>
      <c r="J6" s="13" t="str">
        <f>"31,0"</f>
        <v>31,0</v>
      </c>
      <c r="K6" s="11" t="s">
        <v>5099</v>
      </c>
    </row>
    <row r="7" spans="1:11">
      <c r="A7" s="20" t="s">
        <v>62</v>
      </c>
      <c r="B7" s="18" t="s">
        <v>4898</v>
      </c>
      <c r="C7" s="18" t="s">
        <v>4899</v>
      </c>
      <c r="D7" s="18" t="s">
        <v>44</v>
      </c>
      <c r="E7" s="18" t="s">
        <v>650</v>
      </c>
      <c r="F7" s="19" t="s">
        <v>5100</v>
      </c>
      <c r="G7" s="19" t="s">
        <v>5101</v>
      </c>
      <c r="H7" s="19" t="s">
        <v>5097</v>
      </c>
      <c r="I7" s="20"/>
      <c r="J7" s="20" t="str">
        <f>"28,5"</f>
        <v>28,5</v>
      </c>
      <c r="K7" s="18" t="s">
        <v>158</v>
      </c>
    </row>
    <row r="8" spans="1:11">
      <c r="B8" s="5" t="s">
        <v>40</v>
      </c>
    </row>
    <row r="9" spans="1:11" ht="15.95">
      <c r="A9" s="102" t="s">
        <v>301</v>
      </c>
      <c r="B9" s="102"/>
      <c r="C9" s="102"/>
      <c r="D9" s="102"/>
      <c r="E9" s="102"/>
      <c r="F9" s="102"/>
      <c r="G9" s="102"/>
      <c r="H9" s="102"/>
      <c r="I9" s="102"/>
      <c r="J9" s="102"/>
    </row>
    <row r="10" spans="1:11">
      <c r="A10" s="13" t="s">
        <v>15</v>
      </c>
      <c r="B10" s="11" t="s">
        <v>5102</v>
      </c>
      <c r="C10" s="11" t="s">
        <v>5103</v>
      </c>
      <c r="D10" s="11" t="s">
        <v>5104</v>
      </c>
      <c r="E10" s="11" t="s">
        <v>91</v>
      </c>
      <c r="F10" s="12" t="s">
        <v>5105</v>
      </c>
      <c r="G10" s="21" t="s">
        <v>103</v>
      </c>
      <c r="H10" s="12" t="s">
        <v>103</v>
      </c>
      <c r="I10" s="21" t="s">
        <v>5106</v>
      </c>
      <c r="J10" s="13" t="str">
        <f>"50,0"</f>
        <v>50,0</v>
      </c>
      <c r="K10" s="11" t="s">
        <v>5107</v>
      </c>
    </row>
    <row r="11" spans="1:11">
      <c r="A11" s="20" t="s">
        <v>15</v>
      </c>
      <c r="B11" s="18" t="s">
        <v>5102</v>
      </c>
      <c r="C11" s="18" t="s">
        <v>5108</v>
      </c>
      <c r="D11" s="18" t="s">
        <v>5104</v>
      </c>
      <c r="E11" s="18" t="s">
        <v>91</v>
      </c>
      <c r="F11" s="19" t="s">
        <v>5105</v>
      </c>
      <c r="G11" s="22" t="s">
        <v>103</v>
      </c>
      <c r="H11" s="19" t="s">
        <v>103</v>
      </c>
      <c r="I11" s="22" t="s">
        <v>5106</v>
      </c>
      <c r="J11" s="20" t="str">
        <f>"50,0"</f>
        <v>50,0</v>
      </c>
      <c r="K11" s="18" t="s">
        <v>5107</v>
      </c>
    </row>
    <row r="12" spans="1:11">
      <c r="B12" s="5" t="s">
        <v>40</v>
      </c>
    </row>
    <row r="13" spans="1:11" ht="15.95">
      <c r="A13" s="102" t="s">
        <v>4938</v>
      </c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1">
      <c r="A14" s="13" t="s">
        <v>15</v>
      </c>
      <c r="B14" s="11" t="s">
        <v>4947</v>
      </c>
      <c r="C14" s="11" t="s">
        <v>5109</v>
      </c>
      <c r="D14" s="11" t="s">
        <v>4949</v>
      </c>
      <c r="E14" s="11" t="s">
        <v>5110</v>
      </c>
      <c r="F14" s="12" t="s">
        <v>5111</v>
      </c>
      <c r="G14" s="12" t="s">
        <v>5112</v>
      </c>
      <c r="H14" s="12" t="s">
        <v>4738</v>
      </c>
      <c r="I14" s="13"/>
      <c r="J14" s="13" t="str">
        <f>"76,0"</f>
        <v>76,0</v>
      </c>
      <c r="K14" s="11" t="s">
        <v>158</v>
      </c>
    </row>
    <row r="15" spans="1:11">
      <c r="A15" s="20" t="s">
        <v>15</v>
      </c>
      <c r="B15" s="18" t="s">
        <v>4947</v>
      </c>
      <c r="C15" s="18" t="s">
        <v>4948</v>
      </c>
      <c r="D15" s="18" t="s">
        <v>4949</v>
      </c>
      <c r="E15" s="18" t="s">
        <v>5110</v>
      </c>
      <c r="F15" s="19" t="s">
        <v>5111</v>
      </c>
      <c r="G15" s="19" t="s">
        <v>5112</v>
      </c>
      <c r="H15" s="19" t="s">
        <v>4738</v>
      </c>
      <c r="I15" s="20"/>
      <c r="J15" s="20" t="str">
        <f>"76,0"</f>
        <v>76,0</v>
      </c>
      <c r="K15" s="18" t="s">
        <v>158</v>
      </c>
    </row>
    <row r="16" spans="1:11">
      <c r="B16" s="5" t="s">
        <v>40</v>
      </c>
    </row>
    <row r="17" spans="1:11" ht="15.95">
      <c r="A17" s="102" t="s">
        <v>4954</v>
      </c>
      <c r="B17" s="102"/>
      <c r="C17" s="102"/>
      <c r="D17" s="102"/>
      <c r="E17" s="102"/>
      <c r="F17" s="102"/>
      <c r="G17" s="102"/>
      <c r="H17" s="102"/>
      <c r="I17" s="102"/>
      <c r="J17" s="102"/>
    </row>
    <row r="18" spans="1:11">
      <c r="A18" s="10" t="s">
        <v>15</v>
      </c>
      <c r="B18" s="7" t="s">
        <v>5113</v>
      </c>
      <c r="C18" s="7" t="s">
        <v>5114</v>
      </c>
      <c r="D18" s="7" t="s">
        <v>949</v>
      </c>
      <c r="E18" s="7" t="s">
        <v>5014</v>
      </c>
      <c r="F18" s="8" t="s">
        <v>5115</v>
      </c>
      <c r="G18" s="8" t="s">
        <v>5116</v>
      </c>
      <c r="H18" s="9" t="s">
        <v>5111</v>
      </c>
      <c r="I18" s="10"/>
      <c r="J18" s="10" t="str">
        <f>"61,0"</f>
        <v>61,0</v>
      </c>
      <c r="K18" s="7" t="s">
        <v>5117</v>
      </c>
    </row>
    <row r="19" spans="1:11">
      <c r="B19" s="5" t="s">
        <v>40</v>
      </c>
    </row>
    <row r="20" spans="1:11" ht="15.95">
      <c r="A20" s="102" t="s">
        <v>598</v>
      </c>
      <c r="B20" s="102"/>
      <c r="C20" s="102"/>
      <c r="D20" s="102"/>
      <c r="E20" s="102"/>
      <c r="F20" s="102"/>
      <c r="G20" s="102"/>
      <c r="H20" s="102"/>
      <c r="I20" s="102"/>
      <c r="J20" s="102"/>
    </row>
    <row r="21" spans="1:11">
      <c r="A21" s="13" t="s">
        <v>15</v>
      </c>
      <c r="B21" s="11" t="s">
        <v>4960</v>
      </c>
      <c r="C21" s="11" t="s">
        <v>4961</v>
      </c>
      <c r="D21" s="11" t="s">
        <v>4962</v>
      </c>
      <c r="E21" s="11" t="s">
        <v>4963</v>
      </c>
      <c r="F21" s="12" t="s">
        <v>5111</v>
      </c>
      <c r="G21" s="12" t="s">
        <v>4738</v>
      </c>
      <c r="H21" s="21" t="s">
        <v>5118</v>
      </c>
      <c r="I21" s="13"/>
      <c r="J21" s="13" t="str">
        <f>"76,0"</f>
        <v>76,0</v>
      </c>
      <c r="K21" s="11" t="s">
        <v>158</v>
      </c>
    </row>
    <row r="22" spans="1:11">
      <c r="A22" s="17" t="s">
        <v>62</v>
      </c>
      <c r="B22" s="14" t="s">
        <v>4974</v>
      </c>
      <c r="C22" s="14" t="s">
        <v>4975</v>
      </c>
      <c r="D22" s="14" t="s">
        <v>615</v>
      </c>
      <c r="E22" s="14" t="s">
        <v>906</v>
      </c>
      <c r="F22" s="15" t="s">
        <v>5119</v>
      </c>
      <c r="G22" s="15" t="s">
        <v>5112</v>
      </c>
      <c r="H22" s="16" t="s">
        <v>5120</v>
      </c>
      <c r="I22" s="17"/>
      <c r="J22" s="17" t="str">
        <f>"73,5"</f>
        <v>73,5</v>
      </c>
      <c r="K22" s="14" t="s">
        <v>158</v>
      </c>
    </row>
    <row r="23" spans="1:11">
      <c r="A23" s="17" t="s">
        <v>73</v>
      </c>
      <c r="B23" s="14" t="s">
        <v>5121</v>
      </c>
      <c r="C23" s="14" t="s">
        <v>5122</v>
      </c>
      <c r="D23" s="14" t="s">
        <v>1720</v>
      </c>
      <c r="E23" s="14" t="s">
        <v>5123</v>
      </c>
      <c r="F23" s="15" t="s">
        <v>4959</v>
      </c>
      <c r="G23" s="15" t="s">
        <v>5115</v>
      </c>
      <c r="H23" s="16" t="s">
        <v>4713</v>
      </c>
      <c r="I23" s="17"/>
      <c r="J23" s="17" t="str">
        <f>"51,0"</f>
        <v>51,0</v>
      </c>
      <c r="K23" s="14" t="s">
        <v>158</v>
      </c>
    </row>
    <row r="24" spans="1:11">
      <c r="A24" s="17" t="s">
        <v>15</v>
      </c>
      <c r="B24" s="14" t="s">
        <v>4970</v>
      </c>
      <c r="C24" s="14" t="s">
        <v>5051</v>
      </c>
      <c r="D24" s="14" t="s">
        <v>1720</v>
      </c>
      <c r="E24" s="14" t="s">
        <v>4972</v>
      </c>
      <c r="F24" s="15" t="s">
        <v>5124</v>
      </c>
      <c r="G24" s="15" t="s">
        <v>5119</v>
      </c>
      <c r="H24" s="15" t="s">
        <v>5112</v>
      </c>
      <c r="I24" s="15" t="s">
        <v>4738</v>
      </c>
      <c r="J24" s="17" t="str">
        <f>"73,5"</f>
        <v>73,5</v>
      </c>
      <c r="K24" s="14" t="s">
        <v>158</v>
      </c>
    </row>
    <row r="25" spans="1:11">
      <c r="A25" s="20" t="s">
        <v>62</v>
      </c>
      <c r="B25" s="18" t="s">
        <v>4155</v>
      </c>
      <c r="C25" s="18" t="s">
        <v>5068</v>
      </c>
      <c r="D25" s="18" t="s">
        <v>4147</v>
      </c>
      <c r="E25" s="18" t="s">
        <v>91</v>
      </c>
      <c r="F25" s="19" t="s">
        <v>5124</v>
      </c>
      <c r="G25" s="19" t="s">
        <v>5119</v>
      </c>
      <c r="H25" s="19" t="s">
        <v>5125</v>
      </c>
      <c r="I25" s="19" t="s">
        <v>4738</v>
      </c>
      <c r="J25" s="20" t="str">
        <f>"71,0"</f>
        <v>71,0</v>
      </c>
      <c r="K25" s="18" t="s">
        <v>158</v>
      </c>
    </row>
    <row r="26" spans="1:11">
      <c r="B26" s="5" t="s">
        <v>40</v>
      </c>
    </row>
    <row r="27" spans="1:11" ht="15.95">
      <c r="A27" s="102" t="s">
        <v>670</v>
      </c>
      <c r="B27" s="102"/>
      <c r="C27" s="102"/>
      <c r="D27" s="102"/>
      <c r="E27" s="102"/>
      <c r="F27" s="102"/>
      <c r="G27" s="102"/>
      <c r="H27" s="102"/>
      <c r="I27" s="102"/>
      <c r="J27" s="102"/>
    </row>
    <row r="28" spans="1:11">
      <c r="A28" s="13" t="s">
        <v>15</v>
      </c>
      <c r="B28" s="11" t="s">
        <v>5052</v>
      </c>
      <c r="C28" s="11" t="s">
        <v>5053</v>
      </c>
      <c r="D28" s="11" t="s">
        <v>5054</v>
      </c>
      <c r="E28" s="11" t="s">
        <v>96</v>
      </c>
      <c r="F28" s="12" t="s">
        <v>4713</v>
      </c>
      <c r="G28" s="12" t="s">
        <v>5124</v>
      </c>
      <c r="H28" s="21" t="s">
        <v>5111</v>
      </c>
      <c r="I28" s="13"/>
      <c r="J28" s="13" t="str">
        <f>"63,5"</f>
        <v>63,5</v>
      </c>
      <c r="K28" s="11" t="s">
        <v>158</v>
      </c>
    </row>
    <row r="29" spans="1:11">
      <c r="A29" s="20" t="s">
        <v>15</v>
      </c>
      <c r="B29" s="18" t="s">
        <v>4995</v>
      </c>
      <c r="C29" s="18" t="s">
        <v>4996</v>
      </c>
      <c r="D29" s="18" t="s">
        <v>3690</v>
      </c>
      <c r="E29" s="18" t="s">
        <v>828</v>
      </c>
      <c r="F29" s="19" t="s">
        <v>4738</v>
      </c>
      <c r="G29" s="19" t="s">
        <v>5120</v>
      </c>
      <c r="H29" s="19" t="s">
        <v>5118</v>
      </c>
      <c r="I29" s="22" t="s">
        <v>4833</v>
      </c>
      <c r="J29" s="20" t="str">
        <f>"81,0"</f>
        <v>81,0</v>
      </c>
      <c r="K29" s="18" t="s">
        <v>4998</v>
      </c>
    </row>
    <row r="30" spans="1:11">
      <c r="B30" s="5" t="s">
        <v>40</v>
      </c>
    </row>
    <row r="31" spans="1:11" ht="15.95">
      <c r="A31" s="102" t="s">
        <v>724</v>
      </c>
      <c r="B31" s="102"/>
      <c r="C31" s="102"/>
      <c r="D31" s="102"/>
      <c r="E31" s="102"/>
      <c r="F31" s="102"/>
      <c r="G31" s="102"/>
      <c r="H31" s="102"/>
      <c r="I31" s="102"/>
      <c r="J31" s="102"/>
    </row>
    <row r="32" spans="1:11">
      <c r="A32" s="13" t="s">
        <v>15</v>
      </c>
      <c r="B32" s="11" t="s">
        <v>5082</v>
      </c>
      <c r="C32" s="11" t="s">
        <v>5126</v>
      </c>
      <c r="D32" s="11" t="s">
        <v>1228</v>
      </c>
      <c r="E32" s="11" t="s">
        <v>5084</v>
      </c>
      <c r="F32" s="12" t="s">
        <v>4738</v>
      </c>
      <c r="G32" s="12" t="s">
        <v>5118</v>
      </c>
      <c r="H32" s="12" t="s">
        <v>36</v>
      </c>
      <c r="I32" s="13"/>
      <c r="J32" s="13" t="str">
        <f>"90,0"</f>
        <v>90,0</v>
      </c>
      <c r="K32" s="11" t="s">
        <v>158</v>
      </c>
    </row>
    <row r="33" spans="1:11">
      <c r="A33" s="17" t="s">
        <v>62</v>
      </c>
      <c r="B33" s="14" t="s">
        <v>4846</v>
      </c>
      <c r="C33" s="14" t="s">
        <v>5008</v>
      </c>
      <c r="D33" s="14" t="s">
        <v>4211</v>
      </c>
      <c r="E33" s="14" t="s">
        <v>4848</v>
      </c>
      <c r="F33" s="15" t="s">
        <v>5118</v>
      </c>
      <c r="G33" s="15" t="s">
        <v>4833</v>
      </c>
      <c r="H33" s="15" t="s">
        <v>5127</v>
      </c>
      <c r="I33" s="16" t="s">
        <v>5128</v>
      </c>
      <c r="J33" s="17" t="str">
        <f>"88,5"</f>
        <v>88,5</v>
      </c>
      <c r="K33" s="14" t="s">
        <v>158</v>
      </c>
    </row>
    <row r="34" spans="1:11">
      <c r="A34" s="20" t="s">
        <v>15</v>
      </c>
      <c r="B34" s="18" t="s">
        <v>4846</v>
      </c>
      <c r="C34" s="18" t="s">
        <v>4847</v>
      </c>
      <c r="D34" s="18" t="s">
        <v>4211</v>
      </c>
      <c r="E34" s="18" t="s">
        <v>4848</v>
      </c>
      <c r="F34" s="19" t="s">
        <v>5118</v>
      </c>
      <c r="G34" s="19" t="s">
        <v>4833</v>
      </c>
      <c r="H34" s="19" t="s">
        <v>5127</v>
      </c>
      <c r="I34" s="22" t="s">
        <v>5128</v>
      </c>
      <c r="J34" s="20" t="str">
        <f>"88,5"</f>
        <v>88,5</v>
      </c>
      <c r="K34" s="18" t="s">
        <v>158</v>
      </c>
    </row>
    <row r="35" spans="1:11">
      <c r="B35" s="5" t="s">
        <v>40</v>
      </c>
    </row>
    <row r="36" spans="1:11" ht="15.95">
      <c r="A36" s="102" t="s">
        <v>783</v>
      </c>
      <c r="B36" s="102"/>
      <c r="C36" s="102"/>
      <c r="D36" s="102"/>
      <c r="E36" s="102"/>
      <c r="F36" s="102"/>
      <c r="G36" s="102"/>
      <c r="H36" s="102"/>
      <c r="I36" s="102"/>
      <c r="J36" s="102"/>
    </row>
    <row r="37" spans="1:11">
      <c r="A37" s="10" t="s">
        <v>15</v>
      </c>
      <c r="B37" s="7" t="s">
        <v>4856</v>
      </c>
      <c r="C37" s="7" t="s">
        <v>4857</v>
      </c>
      <c r="D37" s="7" t="s">
        <v>5057</v>
      </c>
      <c r="E37" s="7" t="s">
        <v>1238</v>
      </c>
      <c r="F37" s="8" t="s">
        <v>4834</v>
      </c>
      <c r="G37" s="8" t="s">
        <v>5129</v>
      </c>
      <c r="H37" s="8" t="s">
        <v>2350</v>
      </c>
      <c r="I37" s="8" t="s">
        <v>5130</v>
      </c>
      <c r="J37" s="10" t="str">
        <f>"101,0"</f>
        <v>101,0</v>
      </c>
      <c r="K37" s="7" t="s">
        <v>4858</v>
      </c>
    </row>
    <row r="38" spans="1:11">
      <c r="B38" s="5" t="s">
        <v>40</v>
      </c>
    </row>
    <row r="41" spans="1:11" ht="18">
      <c r="B41" s="23" t="s">
        <v>830</v>
      </c>
      <c r="C41" s="23"/>
      <c r="E41" s="3"/>
    </row>
    <row r="42" spans="1:11" ht="15.95">
      <c r="B42" s="95" t="s">
        <v>855</v>
      </c>
      <c r="C42" s="95"/>
      <c r="E42" s="3"/>
    </row>
    <row r="43" spans="1:11" ht="14.1">
      <c r="B43" s="24"/>
      <c r="C43" s="24" t="s">
        <v>832</v>
      </c>
      <c r="E43" s="3"/>
    </row>
    <row r="44" spans="1:11" ht="14.1">
      <c r="B44" s="4" t="s">
        <v>833</v>
      </c>
      <c r="C44" s="4" t="s">
        <v>834</v>
      </c>
      <c r="D44" s="4" t="s">
        <v>836</v>
      </c>
      <c r="E44" s="3"/>
    </row>
    <row r="45" spans="1:11">
      <c r="B45" s="5" t="s">
        <v>4856</v>
      </c>
      <c r="C45" s="5" t="s">
        <v>832</v>
      </c>
      <c r="D45" s="6" t="s">
        <v>2350</v>
      </c>
      <c r="E45" s="3"/>
    </row>
    <row r="46" spans="1:11">
      <c r="B46" s="5" t="s">
        <v>5082</v>
      </c>
      <c r="C46" s="5" t="s">
        <v>832</v>
      </c>
      <c r="D46" s="6" t="s">
        <v>36</v>
      </c>
      <c r="E46" s="3"/>
    </row>
    <row r="47" spans="1:11">
      <c r="B47" s="5" t="s">
        <v>4846</v>
      </c>
      <c r="C47" s="5" t="s">
        <v>832</v>
      </c>
      <c r="D47" s="6" t="s">
        <v>5127</v>
      </c>
      <c r="E47" s="3"/>
    </row>
    <row r="48" spans="1:11">
      <c r="B48" s="5" t="s">
        <v>40</v>
      </c>
    </row>
  </sheetData>
  <mergeCells count="17">
    <mergeCell ref="A17:J17"/>
    <mergeCell ref="A20:J20"/>
    <mergeCell ref="A27:J27"/>
    <mergeCell ref="A31:J31"/>
    <mergeCell ref="A36:J36"/>
    <mergeCell ref="A13:J13"/>
    <mergeCell ref="A1:K2"/>
    <mergeCell ref="A3:A4"/>
    <mergeCell ref="C3:C4"/>
    <mergeCell ref="D3:D4"/>
    <mergeCell ref="E3:E4"/>
    <mergeCell ref="F3:I3"/>
    <mergeCell ref="B3:B4"/>
    <mergeCell ref="J3:J4"/>
    <mergeCell ref="K3:K4"/>
    <mergeCell ref="A5:J5"/>
    <mergeCell ref="A9:J9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K63"/>
  <sheetViews>
    <sheetView workbookViewId="0">
      <selection sqref="A1:K2"/>
    </sheetView>
  </sheetViews>
  <sheetFormatPr defaultColWidth="9.140625" defaultRowHeight="12.95"/>
  <cols>
    <col min="1" max="1" width="7.42578125" style="6" bestFit="1" customWidth="1"/>
    <col min="2" max="2" width="22" style="5" bestFit="1" customWidth="1"/>
    <col min="3" max="3" width="28.42578125" style="5" bestFit="1" customWidth="1"/>
    <col min="4" max="4" width="21.42578125" style="5" bestFit="1" customWidth="1"/>
    <col min="5" max="5" width="23.42578125" style="5" bestFit="1" customWidth="1"/>
    <col min="6" max="9" width="5.42578125" style="6" bestFit="1" customWidth="1"/>
    <col min="10" max="10" width="7.85546875" style="6" bestFit="1" customWidth="1"/>
    <col min="11" max="11" width="24.85546875" style="5" bestFit="1" customWidth="1"/>
    <col min="12" max="16384" width="9.140625" style="3"/>
  </cols>
  <sheetData>
    <row r="1" spans="1:11" s="2" customFormat="1" ht="29.1" customHeight="1">
      <c r="A1" s="103" t="s">
        <v>5131</v>
      </c>
      <c r="B1" s="104"/>
      <c r="C1" s="105"/>
      <c r="D1" s="105"/>
      <c r="E1" s="105"/>
      <c r="F1" s="105"/>
      <c r="G1" s="105"/>
      <c r="H1" s="105"/>
      <c r="I1" s="105"/>
      <c r="J1" s="105"/>
      <c r="K1" s="106"/>
    </row>
    <row r="2" spans="1:11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1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6</v>
      </c>
      <c r="F3" s="114" t="s">
        <v>4897</v>
      </c>
      <c r="G3" s="114"/>
      <c r="H3" s="114"/>
      <c r="I3" s="114"/>
      <c r="J3" s="114" t="s">
        <v>10</v>
      </c>
      <c r="K3" s="99" t="s">
        <v>12</v>
      </c>
    </row>
    <row r="4" spans="1:11" s="1" customFormat="1" ht="21" customHeight="1" thickBot="1">
      <c r="A4" s="111"/>
      <c r="B4" s="116"/>
      <c r="C4" s="113"/>
      <c r="D4" s="113"/>
      <c r="E4" s="113"/>
      <c r="F4" s="96">
        <v>1</v>
      </c>
      <c r="G4" s="96">
        <v>2</v>
      </c>
      <c r="H4" s="96">
        <v>3</v>
      </c>
      <c r="I4" s="96" t="s">
        <v>13</v>
      </c>
      <c r="J4" s="113"/>
      <c r="K4" s="100"/>
    </row>
    <row r="5" spans="1:11" ht="15.95">
      <c r="A5" s="101" t="s">
        <v>195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1">
      <c r="A6" s="13" t="s">
        <v>15</v>
      </c>
      <c r="B6" s="11" t="s">
        <v>4908</v>
      </c>
      <c r="C6" s="11" t="s">
        <v>4909</v>
      </c>
      <c r="D6" s="11" t="s">
        <v>4073</v>
      </c>
      <c r="E6" s="11" t="s">
        <v>2802</v>
      </c>
      <c r="F6" s="21" t="s">
        <v>26</v>
      </c>
      <c r="G6" s="21" t="s">
        <v>26</v>
      </c>
      <c r="H6" s="12" t="s">
        <v>26</v>
      </c>
      <c r="I6" s="12" t="s">
        <v>5007</v>
      </c>
      <c r="J6" s="13" t="str">
        <f>"60,0"</f>
        <v>60,0</v>
      </c>
      <c r="K6" s="11" t="s">
        <v>4913</v>
      </c>
    </row>
    <row r="7" spans="1:11">
      <c r="A7" s="17" t="s">
        <v>62</v>
      </c>
      <c r="B7" s="14" t="s">
        <v>2354</v>
      </c>
      <c r="C7" s="14" t="s">
        <v>5132</v>
      </c>
      <c r="D7" s="14" t="s">
        <v>5133</v>
      </c>
      <c r="E7" s="14" t="s">
        <v>232</v>
      </c>
      <c r="F7" s="15" t="s">
        <v>82</v>
      </c>
      <c r="G7" s="15" t="s">
        <v>103</v>
      </c>
      <c r="H7" s="16" t="s">
        <v>26</v>
      </c>
      <c r="I7" s="17"/>
      <c r="J7" s="17" t="str">
        <f>"50,0"</f>
        <v>50,0</v>
      </c>
      <c r="K7" s="14" t="s">
        <v>158</v>
      </c>
    </row>
    <row r="8" spans="1:11">
      <c r="A8" s="20" t="s">
        <v>15</v>
      </c>
      <c r="B8" s="18" t="s">
        <v>4918</v>
      </c>
      <c r="C8" s="18" t="s">
        <v>4919</v>
      </c>
      <c r="D8" s="18" t="s">
        <v>4920</v>
      </c>
      <c r="E8" s="18" t="s">
        <v>2418</v>
      </c>
      <c r="F8" s="19" t="s">
        <v>4071</v>
      </c>
      <c r="G8" s="19" t="s">
        <v>4669</v>
      </c>
      <c r="H8" s="19" t="s">
        <v>20</v>
      </c>
      <c r="I8" s="20"/>
      <c r="J8" s="20" t="str">
        <f>"35,0"</f>
        <v>35,0</v>
      </c>
      <c r="K8" s="18" t="s">
        <v>158</v>
      </c>
    </row>
    <row r="9" spans="1:11">
      <c r="B9" s="5" t="s">
        <v>40</v>
      </c>
    </row>
    <row r="10" spans="1:11" ht="15.95">
      <c r="A10" s="102" t="s">
        <v>301</v>
      </c>
      <c r="B10" s="102"/>
      <c r="C10" s="102"/>
      <c r="D10" s="102"/>
      <c r="E10" s="102"/>
      <c r="F10" s="102"/>
      <c r="G10" s="102"/>
      <c r="H10" s="102"/>
      <c r="I10" s="102"/>
      <c r="J10" s="102"/>
    </row>
    <row r="11" spans="1:11">
      <c r="A11" s="13" t="s">
        <v>15</v>
      </c>
      <c r="B11" s="11" t="s">
        <v>5134</v>
      </c>
      <c r="C11" s="11" t="s">
        <v>5135</v>
      </c>
      <c r="D11" s="11" t="s">
        <v>425</v>
      </c>
      <c r="E11" s="11" t="s">
        <v>91</v>
      </c>
      <c r="F11" s="12" t="s">
        <v>33</v>
      </c>
      <c r="G11" s="12" t="s">
        <v>81</v>
      </c>
      <c r="H11" s="21" t="s">
        <v>67</v>
      </c>
      <c r="I11" s="21" t="s">
        <v>36</v>
      </c>
      <c r="J11" s="13" t="str">
        <f>"80,0"</f>
        <v>80,0</v>
      </c>
      <c r="K11" s="11" t="s">
        <v>158</v>
      </c>
    </row>
    <row r="12" spans="1:11">
      <c r="A12" s="20" t="s">
        <v>15</v>
      </c>
      <c r="B12" s="18" t="s">
        <v>4929</v>
      </c>
      <c r="C12" s="18" t="s">
        <v>4930</v>
      </c>
      <c r="D12" s="18" t="s">
        <v>925</v>
      </c>
      <c r="E12" s="18" t="s">
        <v>2418</v>
      </c>
      <c r="F12" s="19" t="s">
        <v>4927</v>
      </c>
      <c r="G12" s="19" t="s">
        <v>24</v>
      </c>
      <c r="H12" s="19" t="s">
        <v>3063</v>
      </c>
      <c r="I12" s="20"/>
      <c r="J12" s="20" t="str">
        <f>"30,0"</f>
        <v>30,0</v>
      </c>
      <c r="K12" s="18" t="s">
        <v>4212</v>
      </c>
    </row>
    <row r="13" spans="1:11">
      <c r="B13" s="5" t="s">
        <v>40</v>
      </c>
    </row>
    <row r="14" spans="1:11" ht="15.95">
      <c r="A14" s="102" t="s">
        <v>4938</v>
      </c>
      <c r="B14" s="102"/>
      <c r="C14" s="102"/>
      <c r="D14" s="102"/>
      <c r="E14" s="102"/>
      <c r="F14" s="102"/>
      <c r="G14" s="102"/>
      <c r="H14" s="102"/>
      <c r="I14" s="102"/>
      <c r="J14" s="102"/>
    </row>
    <row r="15" spans="1:11">
      <c r="A15" s="13" t="s">
        <v>15</v>
      </c>
      <c r="B15" s="11" t="s">
        <v>4939</v>
      </c>
      <c r="C15" s="11" t="s">
        <v>4940</v>
      </c>
      <c r="D15" s="11" t="s">
        <v>4941</v>
      </c>
      <c r="E15" s="11" t="s">
        <v>720</v>
      </c>
      <c r="F15" s="12" t="s">
        <v>36</v>
      </c>
      <c r="G15" s="12" t="s">
        <v>110</v>
      </c>
      <c r="H15" s="21" t="s">
        <v>46</v>
      </c>
      <c r="I15" s="13"/>
      <c r="J15" s="13" t="str">
        <f>"97,5"</f>
        <v>97,5</v>
      </c>
      <c r="K15" s="11" t="s">
        <v>2311</v>
      </c>
    </row>
    <row r="16" spans="1:11">
      <c r="A16" s="20" t="s">
        <v>15</v>
      </c>
      <c r="B16" s="18" t="s">
        <v>4947</v>
      </c>
      <c r="C16" s="18" t="s">
        <v>4948</v>
      </c>
      <c r="D16" s="18" t="s">
        <v>4949</v>
      </c>
      <c r="E16" s="18" t="s">
        <v>5110</v>
      </c>
      <c r="F16" s="19" t="s">
        <v>80</v>
      </c>
      <c r="G16" s="22" t="s">
        <v>81</v>
      </c>
      <c r="H16" s="20"/>
      <c r="I16" s="20"/>
      <c r="J16" s="20" t="str">
        <f>"75,0"</f>
        <v>75,0</v>
      </c>
      <c r="K16" s="18" t="s">
        <v>158</v>
      </c>
    </row>
    <row r="17" spans="1:11">
      <c r="B17" s="5" t="s">
        <v>40</v>
      </c>
    </row>
    <row r="18" spans="1:11" ht="15.95">
      <c r="A18" s="102" t="s">
        <v>4954</v>
      </c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11">
      <c r="A19" s="13" t="s">
        <v>15</v>
      </c>
      <c r="B19" s="11" t="s">
        <v>5136</v>
      </c>
      <c r="C19" s="11" t="s">
        <v>5137</v>
      </c>
      <c r="D19" s="11" t="s">
        <v>5138</v>
      </c>
      <c r="E19" s="11" t="s">
        <v>2142</v>
      </c>
      <c r="F19" s="12" t="s">
        <v>67</v>
      </c>
      <c r="G19" s="12" t="s">
        <v>38</v>
      </c>
      <c r="H19" s="12" t="s">
        <v>69</v>
      </c>
      <c r="I19" s="21" t="s">
        <v>55</v>
      </c>
      <c r="J19" s="13" t="str">
        <f>"110,0"</f>
        <v>110,0</v>
      </c>
      <c r="K19" s="11" t="s">
        <v>5139</v>
      </c>
    </row>
    <row r="20" spans="1:11">
      <c r="A20" s="17" t="s">
        <v>15</v>
      </c>
      <c r="B20" s="14" t="s">
        <v>5140</v>
      </c>
      <c r="C20" s="14" t="s">
        <v>5141</v>
      </c>
      <c r="D20" s="14" t="s">
        <v>2241</v>
      </c>
      <c r="E20" s="14" t="s">
        <v>5142</v>
      </c>
      <c r="F20" s="15" t="s">
        <v>38</v>
      </c>
      <c r="G20" s="16" t="s">
        <v>49</v>
      </c>
      <c r="H20" s="15" t="s">
        <v>49</v>
      </c>
      <c r="I20" s="15" t="s">
        <v>69</v>
      </c>
      <c r="J20" s="17" t="str">
        <f>"105,0"</f>
        <v>105,0</v>
      </c>
      <c r="K20" s="14" t="s">
        <v>5143</v>
      </c>
    </row>
    <row r="21" spans="1:11">
      <c r="A21" s="17" t="s">
        <v>62</v>
      </c>
      <c r="B21" s="14" t="s">
        <v>4955</v>
      </c>
      <c r="C21" s="14" t="s">
        <v>4956</v>
      </c>
      <c r="D21" s="14" t="s">
        <v>2114</v>
      </c>
      <c r="E21" s="14" t="s">
        <v>91</v>
      </c>
      <c r="F21" s="15" t="s">
        <v>146</v>
      </c>
      <c r="G21" s="15" t="s">
        <v>67</v>
      </c>
      <c r="H21" s="15" t="s">
        <v>120</v>
      </c>
      <c r="I21" s="17"/>
      <c r="J21" s="17" t="str">
        <f>"87,5"</f>
        <v>87,5</v>
      </c>
      <c r="K21" s="14" t="s">
        <v>158</v>
      </c>
    </row>
    <row r="22" spans="1:11">
      <c r="A22" s="20" t="s">
        <v>15</v>
      </c>
      <c r="B22" s="18" t="s">
        <v>4505</v>
      </c>
      <c r="C22" s="18" t="s">
        <v>4506</v>
      </c>
      <c r="D22" s="18" t="s">
        <v>419</v>
      </c>
      <c r="E22" s="18" t="s">
        <v>1105</v>
      </c>
      <c r="F22" s="19" t="s">
        <v>103</v>
      </c>
      <c r="G22" s="19" t="s">
        <v>32</v>
      </c>
      <c r="H22" s="19" t="s">
        <v>140</v>
      </c>
      <c r="I22" s="20"/>
      <c r="J22" s="20" t="str">
        <f>"72,5"</f>
        <v>72,5</v>
      </c>
      <c r="K22" s="18" t="s">
        <v>4507</v>
      </c>
    </row>
    <row r="23" spans="1:11">
      <c r="B23" s="5" t="s">
        <v>40</v>
      </c>
    </row>
    <row r="24" spans="1:11" ht="15.95">
      <c r="A24" s="102" t="s">
        <v>598</v>
      </c>
      <c r="B24" s="102"/>
      <c r="C24" s="102"/>
      <c r="D24" s="102"/>
      <c r="E24" s="102"/>
      <c r="F24" s="102"/>
      <c r="G24" s="102"/>
      <c r="H24" s="102"/>
      <c r="I24" s="102"/>
      <c r="J24" s="102"/>
    </row>
    <row r="25" spans="1:11">
      <c r="A25" s="13" t="s">
        <v>15</v>
      </c>
      <c r="B25" s="11" t="s">
        <v>4960</v>
      </c>
      <c r="C25" s="11" t="s">
        <v>4961</v>
      </c>
      <c r="D25" s="11" t="s">
        <v>4962</v>
      </c>
      <c r="E25" s="11" t="s">
        <v>4963</v>
      </c>
      <c r="F25" s="12" t="s">
        <v>56</v>
      </c>
      <c r="G25" s="12" t="s">
        <v>145</v>
      </c>
      <c r="H25" s="21" t="s">
        <v>71</v>
      </c>
      <c r="I25" s="13"/>
      <c r="J25" s="13" t="str">
        <f>"125,0"</f>
        <v>125,0</v>
      </c>
      <c r="K25" s="11" t="s">
        <v>158</v>
      </c>
    </row>
    <row r="26" spans="1:11">
      <c r="A26" s="17" t="s">
        <v>62</v>
      </c>
      <c r="B26" s="14" t="s">
        <v>5144</v>
      </c>
      <c r="C26" s="14" t="s">
        <v>5145</v>
      </c>
      <c r="D26" s="14" t="s">
        <v>660</v>
      </c>
      <c r="E26" s="14" t="s">
        <v>720</v>
      </c>
      <c r="F26" s="15" t="s">
        <v>36</v>
      </c>
      <c r="G26" s="15" t="s">
        <v>38</v>
      </c>
      <c r="H26" s="16" t="s">
        <v>49</v>
      </c>
      <c r="I26" s="17"/>
      <c r="J26" s="17" t="str">
        <f>"100,0"</f>
        <v>100,0</v>
      </c>
      <c r="K26" s="14" t="s">
        <v>2311</v>
      </c>
    </row>
    <row r="27" spans="1:11">
      <c r="A27" s="17" t="s">
        <v>73</v>
      </c>
      <c r="B27" s="14" t="s">
        <v>4967</v>
      </c>
      <c r="C27" s="14" t="s">
        <v>4968</v>
      </c>
      <c r="D27" s="14" t="s">
        <v>1486</v>
      </c>
      <c r="E27" s="14" t="s">
        <v>4969</v>
      </c>
      <c r="F27" s="15" t="s">
        <v>36</v>
      </c>
      <c r="G27" s="15" t="s">
        <v>37</v>
      </c>
      <c r="H27" s="16" t="s">
        <v>110</v>
      </c>
      <c r="I27" s="17"/>
      <c r="J27" s="17" t="str">
        <f>"95,0"</f>
        <v>95,0</v>
      </c>
      <c r="K27" s="14" t="s">
        <v>158</v>
      </c>
    </row>
    <row r="28" spans="1:11">
      <c r="A28" s="17" t="s">
        <v>15</v>
      </c>
      <c r="B28" s="14" t="s">
        <v>4970</v>
      </c>
      <c r="C28" s="14" t="s">
        <v>5051</v>
      </c>
      <c r="D28" s="14" t="s">
        <v>1720</v>
      </c>
      <c r="E28" s="14" t="s">
        <v>4972</v>
      </c>
      <c r="F28" s="15" t="s">
        <v>36</v>
      </c>
      <c r="G28" s="16" t="s">
        <v>110</v>
      </c>
      <c r="H28" s="15" t="s">
        <v>110</v>
      </c>
      <c r="I28" s="17"/>
      <c r="J28" s="17" t="str">
        <f>"97,5"</f>
        <v>97,5</v>
      </c>
      <c r="K28" s="14" t="s">
        <v>158</v>
      </c>
    </row>
    <row r="29" spans="1:11">
      <c r="A29" s="20" t="s">
        <v>15</v>
      </c>
      <c r="B29" s="18" t="s">
        <v>4517</v>
      </c>
      <c r="C29" s="18" t="s">
        <v>4518</v>
      </c>
      <c r="D29" s="18" t="s">
        <v>590</v>
      </c>
      <c r="E29" s="18" t="s">
        <v>5146</v>
      </c>
      <c r="F29" s="19" t="s">
        <v>103</v>
      </c>
      <c r="G29" s="19" t="s">
        <v>25</v>
      </c>
      <c r="H29" s="19" t="s">
        <v>32</v>
      </c>
      <c r="I29" s="20"/>
      <c r="J29" s="20" t="str">
        <f>"65,0"</f>
        <v>65,0</v>
      </c>
      <c r="K29" s="18" t="s">
        <v>158</v>
      </c>
    </row>
    <row r="30" spans="1:11">
      <c r="B30" s="5" t="s">
        <v>40</v>
      </c>
    </row>
    <row r="31" spans="1:11" ht="15.95">
      <c r="A31" s="102" t="s">
        <v>670</v>
      </c>
      <c r="B31" s="102"/>
      <c r="C31" s="102"/>
      <c r="D31" s="102"/>
      <c r="E31" s="102"/>
      <c r="F31" s="102"/>
      <c r="G31" s="102"/>
      <c r="H31" s="102"/>
      <c r="I31" s="102"/>
      <c r="J31" s="102"/>
    </row>
    <row r="32" spans="1:11">
      <c r="A32" s="13" t="s">
        <v>15</v>
      </c>
      <c r="B32" s="11" t="s">
        <v>4985</v>
      </c>
      <c r="C32" s="11" t="s">
        <v>4986</v>
      </c>
      <c r="D32" s="11" t="s">
        <v>1827</v>
      </c>
      <c r="E32" s="11" t="s">
        <v>2782</v>
      </c>
      <c r="F32" s="12" t="s">
        <v>70</v>
      </c>
      <c r="G32" s="12" t="s">
        <v>71</v>
      </c>
      <c r="H32" s="12" t="s">
        <v>5147</v>
      </c>
      <c r="I32" s="21" t="s">
        <v>5148</v>
      </c>
      <c r="J32" s="13" t="str">
        <f>"136,0"</f>
        <v>136,0</v>
      </c>
      <c r="K32" s="11" t="s">
        <v>4988</v>
      </c>
    </row>
    <row r="33" spans="1:11">
      <c r="A33" s="17" t="s">
        <v>62</v>
      </c>
      <c r="B33" s="14" t="s">
        <v>5149</v>
      </c>
      <c r="C33" s="14" t="s">
        <v>5150</v>
      </c>
      <c r="D33" s="14" t="s">
        <v>1130</v>
      </c>
      <c r="E33" s="14" t="s">
        <v>5151</v>
      </c>
      <c r="F33" s="15" t="s">
        <v>37</v>
      </c>
      <c r="G33" s="15" t="s">
        <v>46</v>
      </c>
      <c r="H33" s="15" t="s">
        <v>69</v>
      </c>
      <c r="I33" s="17"/>
      <c r="J33" s="17" t="str">
        <f>"110,0"</f>
        <v>110,0</v>
      </c>
      <c r="K33" s="14" t="s">
        <v>158</v>
      </c>
    </row>
    <row r="34" spans="1:11">
      <c r="A34" s="17" t="s">
        <v>73</v>
      </c>
      <c r="B34" s="14" t="s">
        <v>5052</v>
      </c>
      <c r="C34" s="14" t="s">
        <v>5053</v>
      </c>
      <c r="D34" s="14" t="s">
        <v>5054</v>
      </c>
      <c r="E34" s="14" t="s">
        <v>96</v>
      </c>
      <c r="F34" s="15" t="s">
        <v>80</v>
      </c>
      <c r="G34" s="16" t="s">
        <v>104</v>
      </c>
      <c r="H34" s="15" t="s">
        <v>104</v>
      </c>
      <c r="I34" s="17"/>
      <c r="J34" s="17" t="str">
        <f>"77,5"</f>
        <v>77,5</v>
      </c>
      <c r="K34" s="14" t="s">
        <v>158</v>
      </c>
    </row>
    <row r="35" spans="1:11">
      <c r="A35" s="20" t="s">
        <v>15</v>
      </c>
      <c r="B35" s="18" t="s">
        <v>4995</v>
      </c>
      <c r="C35" s="18" t="s">
        <v>4996</v>
      </c>
      <c r="D35" s="18" t="s">
        <v>3690</v>
      </c>
      <c r="E35" s="18" t="s">
        <v>828</v>
      </c>
      <c r="F35" s="19" t="s">
        <v>81</v>
      </c>
      <c r="G35" s="19" t="s">
        <v>36</v>
      </c>
      <c r="H35" s="19" t="s">
        <v>38</v>
      </c>
      <c r="I35" s="20"/>
      <c r="J35" s="20" t="str">
        <f>"100,0"</f>
        <v>100,0</v>
      </c>
      <c r="K35" s="18" t="s">
        <v>4998</v>
      </c>
    </row>
    <row r="36" spans="1:11">
      <c r="B36" s="5" t="s">
        <v>40</v>
      </c>
    </row>
    <row r="37" spans="1:11" ht="15.95">
      <c r="A37" s="102" t="s">
        <v>724</v>
      </c>
      <c r="B37" s="102"/>
      <c r="C37" s="102"/>
      <c r="D37" s="102"/>
      <c r="E37" s="102"/>
      <c r="F37" s="102"/>
      <c r="G37" s="102"/>
      <c r="H37" s="102"/>
      <c r="I37" s="102"/>
      <c r="J37" s="102"/>
    </row>
    <row r="38" spans="1:11">
      <c r="A38" s="13" t="s">
        <v>15</v>
      </c>
      <c r="B38" s="11" t="s">
        <v>5011</v>
      </c>
      <c r="C38" s="11" t="s">
        <v>5012</v>
      </c>
      <c r="D38" s="11" t="s">
        <v>5013</v>
      </c>
      <c r="E38" s="11" t="s">
        <v>5014</v>
      </c>
      <c r="F38" s="12" t="s">
        <v>81</v>
      </c>
      <c r="G38" s="12" t="s">
        <v>67</v>
      </c>
      <c r="H38" s="21" t="s">
        <v>36</v>
      </c>
      <c r="I38" s="13"/>
      <c r="J38" s="13" t="str">
        <f>"85,0"</f>
        <v>85,0</v>
      </c>
      <c r="K38" s="11" t="s">
        <v>5015</v>
      </c>
    </row>
    <row r="39" spans="1:11">
      <c r="A39" s="20" t="s">
        <v>62</v>
      </c>
      <c r="B39" s="18" t="s">
        <v>4209</v>
      </c>
      <c r="C39" s="18" t="s">
        <v>4210</v>
      </c>
      <c r="D39" s="18" t="s">
        <v>4211</v>
      </c>
      <c r="E39" s="18" t="s">
        <v>2418</v>
      </c>
      <c r="F39" s="19" t="s">
        <v>4911</v>
      </c>
      <c r="G39" s="19" t="s">
        <v>82</v>
      </c>
      <c r="H39" s="19" t="s">
        <v>103</v>
      </c>
      <c r="I39" s="20"/>
      <c r="J39" s="20" t="str">
        <f>"50,0"</f>
        <v>50,0</v>
      </c>
      <c r="K39" s="18" t="s">
        <v>4212</v>
      </c>
    </row>
    <row r="40" spans="1:11">
      <c r="B40" s="5" t="s">
        <v>40</v>
      </c>
    </row>
    <row r="41" spans="1:11" ht="15.95">
      <c r="A41" s="102" t="s">
        <v>783</v>
      </c>
      <c r="B41" s="102"/>
      <c r="C41" s="102"/>
      <c r="D41" s="102"/>
      <c r="E41" s="102"/>
      <c r="F41" s="102"/>
      <c r="G41" s="102"/>
      <c r="H41" s="102"/>
      <c r="I41" s="102"/>
      <c r="J41" s="102"/>
    </row>
    <row r="42" spans="1:11">
      <c r="A42" s="13" t="s">
        <v>15</v>
      </c>
      <c r="B42" s="31" t="s">
        <v>4856</v>
      </c>
      <c r="C42" s="11" t="s">
        <v>4857</v>
      </c>
      <c r="D42" s="11" t="s">
        <v>5057</v>
      </c>
      <c r="E42" s="11" t="s">
        <v>1238</v>
      </c>
      <c r="F42" s="12" t="s">
        <v>69</v>
      </c>
      <c r="G42" s="21" t="s">
        <v>56</v>
      </c>
      <c r="H42" s="12" t="s">
        <v>56</v>
      </c>
      <c r="I42" s="13"/>
      <c r="J42" s="13" t="str">
        <f>"115,0"</f>
        <v>115,0</v>
      </c>
      <c r="K42" s="11" t="s">
        <v>4858</v>
      </c>
    </row>
    <row r="43" spans="1:11">
      <c r="A43" s="20" t="s">
        <v>15</v>
      </c>
      <c r="B43" s="18" t="s">
        <v>5029</v>
      </c>
      <c r="C43" s="18" t="s">
        <v>5030</v>
      </c>
      <c r="D43" s="18" t="s">
        <v>4041</v>
      </c>
      <c r="E43" s="18" t="s">
        <v>2418</v>
      </c>
      <c r="F43" s="19" t="s">
        <v>103</v>
      </c>
      <c r="G43" s="19" t="s">
        <v>26</v>
      </c>
      <c r="H43" s="19" t="s">
        <v>32</v>
      </c>
      <c r="I43" s="20"/>
      <c r="J43" s="20" t="str">
        <f>"65,0"</f>
        <v>65,0</v>
      </c>
      <c r="K43" s="18" t="s">
        <v>4212</v>
      </c>
    </row>
    <row r="44" spans="1:11">
      <c r="B44" s="5" t="s">
        <v>40</v>
      </c>
    </row>
    <row r="45" spans="1:11" ht="15.95">
      <c r="A45" s="102" t="s">
        <v>5059</v>
      </c>
      <c r="B45" s="102"/>
      <c r="C45" s="102"/>
      <c r="D45" s="102"/>
      <c r="E45" s="102"/>
      <c r="F45" s="102"/>
      <c r="G45" s="102"/>
      <c r="H45" s="102"/>
      <c r="I45" s="102"/>
      <c r="J45" s="102"/>
    </row>
    <row r="46" spans="1:11">
      <c r="A46" s="10" t="s">
        <v>15</v>
      </c>
      <c r="B46" s="32" t="s">
        <v>5152</v>
      </c>
      <c r="C46" s="7" t="s">
        <v>5153</v>
      </c>
      <c r="D46" s="7" t="s">
        <v>5154</v>
      </c>
      <c r="E46" s="7" t="s">
        <v>91</v>
      </c>
      <c r="F46" s="8" t="s">
        <v>46</v>
      </c>
      <c r="G46" s="8" t="s">
        <v>69</v>
      </c>
      <c r="H46" s="8" t="s">
        <v>55</v>
      </c>
      <c r="I46" s="10"/>
      <c r="J46" s="10" t="str">
        <f>"112,5"</f>
        <v>112,5</v>
      </c>
      <c r="K46" s="7" t="s">
        <v>5155</v>
      </c>
    </row>
    <row r="47" spans="1:11">
      <c r="B47" s="5" t="s">
        <v>40</v>
      </c>
    </row>
    <row r="50" spans="2:5" ht="18">
      <c r="B50" s="23" t="s">
        <v>830</v>
      </c>
      <c r="C50" s="23"/>
      <c r="E50" s="3"/>
    </row>
    <row r="51" spans="2:5" ht="15.95">
      <c r="B51" s="95" t="s">
        <v>855</v>
      </c>
      <c r="C51" s="95"/>
      <c r="E51" s="3"/>
    </row>
    <row r="52" spans="2:5" ht="14.1">
      <c r="B52" s="24"/>
      <c r="C52" s="24" t="s">
        <v>832</v>
      </c>
      <c r="E52" s="3"/>
    </row>
    <row r="53" spans="2:5" ht="14.1">
      <c r="B53" s="4" t="s">
        <v>833</v>
      </c>
      <c r="C53" s="4" t="s">
        <v>834</v>
      </c>
      <c r="D53" s="4" t="s">
        <v>2294</v>
      </c>
      <c r="E53" s="3"/>
    </row>
    <row r="54" spans="2:5">
      <c r="B54" s="5" t="s">
        <v>4985</v>
      </c>
      <c r="C54" s="5" t="s">
        <v>832</v>
      </c>
      <c r="D54" s="6" t="s">
        <v>5147</v>
      </c>
      <c r="E54" s="3"/>
    </row>
    <row r="55" spans="2:5">
      <c r="B55" s="5" t="s">
        <v>4960</v>
      </c>
      <c r="C55" s="5" t="s">
        <v>832</v>
      </c>
      <c r="D55" s="6" t="s">
        <v>145</v>
      </c>
      <c r="E55" s="3"/>
    </row>
    <row r="56" spans="2:5">
      <c r="B56" s="5" t="s">
        <v>4856</v>
      </c>
      <c r="C56" s="5" t="s">
        <v>832</v>
      </c>
      <c r="D56" s="6" t="s">
        <v>56</v>
      </c>
      <c r="E56" s="3"/>
    </row>
    <row r="57" spans="2:5">
      <c r="E57" s="3"/>
    </row>
    <row r="58" spans="2:5" ht="14.1">
      <c r="B58" s="24"/>
      <c r="C58" s="24" t="s">
        <v>847</v>
      </c>
      <c r="E58" s="3"/>
    </row>
    <row r="59" spans="2:5" ht="14.1">
      <c r="B59" s="4" t="s">
        <v>833</v>
      </c>
      <c r="C59" s="4" t="s">
        <v>834</v>
      </c>
      <c r="D59" s="4" t="s">
        <v>2294</v>
      </c>
      <c r="E59" s="3"/>
    </row>
    <row r="60" spans="2:5">
      <c r="B60" s="30" t="s">
        <v>5152</v>
      </c>
      <c r="C60" s="5" t="s">
        <v>884</v>
      </c>
      <c r="D60" s="6" t="s">
        <v>55</v>
      </c>
      <c r="E60" s="3"/>
    </row>
    <row r="61" spans="2:5">
      <c r="B61" s="5" t="s">
        <v>4995</v>
      </c>
      <c r="C61" s="5" t="s">
        <v>848</v>
      </c>
      <c r="D61" s="6" t="s">
        <v>38</v>
      </c>
      <c r="E61" s="3"/>
    </row>
    <row r="62" spans="2:5">
      <c r="B62" s="5" t="s">
        <v>4970</v>
      </c>
      <c r="C62" s="5" t="s">
        <v>848</v>
      </c>
      <c r="D62" s="6" t="s">
        <v>110</v>
      </c>
      <c r="E62" s="3"/>
    </row>
    <row r="63" spans="2:5">
      <c r="B63" s="5" t="s">
        <v>40</v>
      </c>
    </row>
  </sheetData>
  <mergeCells count="18">
    <mergeCell ref="A45:J45"/>
    <mergeCell ref="J3:J4"/>
    <mergeCell ref="K3:K4"/>
    <mergeCell ref="A5:J5"/>
    <mergeCell ref="A10:J10"/>
    <mergeCell ref="A14:J14"/>
    <mergeCell ref="B3:B4"/>
    <mergeCell ref="A18:J18"/>
    <mergeCell ref="A24:J24"/>
    <mergeCell ref="A31:J31"/>
    <mergeCell ref="A37:J37"/>
    <mergeCell ref="A41:J41"/>
    <mergeCell ref="A1:K2"/>
    <mergeCell ref="A3:A4"/>
    <mergeCell ref="C3:C4"/>
    <mergeCell ref="D3:D4"/>
    <mergeCell ref="E3:E4"/>
    <mergeCell ref="F3:I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G20"/>
  <sheetViews>
    <sheetView workbookViewId="0">
      <selection sqref="A1:G2"/>
    </sheetView>
  </sheetViews>
  <sheetFormatPr defaultColWidth="9.140625" defaultRowHeight="12.95"/>
  <cols>
    <col min="1" max="1" width="7.42578125" style="6" bestFit="1" customWidth="1"/>
    <col min="2" max="2" width="21.42578125" style="5" bestFit="1" customWidth="1"/>
    <col min="3" max="3" width="28.42578125" style="5" bestFit="1" customWidth="1"/>
    <col min="4" max="4" width="21.42578125" style="5" bestFit="1" customWidth="1"/>
    <col min="5" max="5" width="20.42578125" style="5" bestFit="1" customWidth="1"/>
    <col min="6" max="6" width="13.140625" style="39" customWidth="1"/>
    <col min="7" max="7" width="21.28515625" style="5" customWidth="1"/>
    <col min="8" max="16384" width="9.140625" style="3"/>
  </cols>
  <sheetData>
    <row r="1" spans="1:7" s="2" customFormat="1" ht="29.1" customHeight="1">
      <c r="A1" s="103" t="s">
        <v>5156</v>
      </c>
      <c r="B1" s="104"/>
      <c r="C1" s="105"/>
      <c r="D1" s="105"/>
      <c r="E1" s="105"/>
      <c r="F1" s="105"/>
      <c r="G1" s="106"/>
    </row>
    <row r="2" spans="1:7" s="2" customFormat="1" ht="62.1" customHeight="1" thickBot="1">
      <c r="A2" s="107"/>
      <c r="B2" s="108"/>
      <c r="C2" s="108"/>
      <c r="D2" s="108"/>
      <c r="E2" s="108"/>
      <c r="F2" s="108"/>
      <c r="G2" s="109"/>
    </row>
    <row r="3" spans="1:7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6</v>
      </c>
      <c r="F3" s="117" t="s">
        <v>2294</v>
      </c>
      <c r="G3" s="99" t="s">
        <v>12</v>
      </c>
    </row>
    <row r="4" spans="1:7" s="1" customFormat="1" ht="21" customHeight="1" thickBot="1">
      <c r="A4" s="111"/>
      <c r="B4" s="116"/>
      <c r="C4" s="113"/>
      <c r="D4" s="113"/>
      <c r="E4" s="113"/>
      <c r="F4" s="118"/>
      <c r="G4" s="100"/>
    </row>
    <row r="5" spans="1:7" ht="15.95">
      <c r="A5" s="101" t="s">
        <v>598</v>
      </c>
      <c r="B5" s="101"/>
      <c r="C5" s="101"/>
      <c r="D5" s="101"/>
      <c r="E5" s="101"/>
      <c r="F5" s="101"/>
    </row>
    <row r="6" spans="1:7">
      <c r="A6" s="13" t="s">
        <v>15</v>
      </c>
      <c r="B6" s="11" t="s">
        <v>4974</v>
      </c>
      <c r="C6" s="11" t="s">
        <v>4975</v>
      </c>
      <c r="D6" s="11" t="s">
        <v>615</v>
      </c>
      <c r="E6" s="11" t="s">
        <v>906</v>
      </c>
      <c r="F6" s="37" t="str">
        <f>"25,2"</f>
        <v>25,2</v>
      </c>
      <c r="G6" s="11" t="s">
        <v>158</v>
      </c>
    </row>
    <row r="7" spans="1:7">
      <c r="A7" s="20" t="s">
        <v>92</v>
      </c>
      <c r="B7" s="18" t="s">
        <v>4517</v>
      </c>
      <c r="C7" s="18" t="s">
        <v>4518</v>
      </c>
      <c r="D7" s="18" t="s">
        <v>590</v>
      </c>
      <c r="E7" s="18" t="s">
        <v>5157</v>
      </c>
      <c r="F7" s="38">
        <v>0</v>
      </c>
      <c r="G7" s="18" t="s">
        <v>158</v>
      </c>
    </row>
    <row r="8" spans="1:7">
      <c r="B8" s="5" t="s">
        <v>40</v>
      </c>
    </row>
    <row r="9" spans="1:7" ht="15.95">
      <c r="A9" s="102" t="s">
        <v>724</v>
      </c>
      <c r="B9" s="102"/>
      <c r="C9" s="102"/>
      <c r="D9" s="102"/>
      <c r="E9" s="102"/>
      <c r="F9" s="102"/>
    </row>
    <row r="10" spans="1:7">
      <c r="A10" s="13" t="s">
        <v>15</v>
      </c>
      <c r="B10" s="11" t="s">
        <v>5158</v>
      </c>
      <c r="C10" s="11" t="s">
        <v>5159</v>
      </c>
      <c r="D10" s="11" t="s">
        <v>776</v>
      </c>
      <c r="E10" s="11" t="s">
        <v>91</v>
      </c>
      <c r="F10" s="37" t="str">
        <f>"43,9"</f>
        <v>43,9</v>
      </c>
      <c r="G10" s="11" t="s">
        <v>158</v>
      </c>
    </row>
    <row r="11" spans="1:7">
      <c r="A11" s="17" t="s">
        <v>62</v>
      </c>
      <c r="B11" s="14" t="s">
        <v>5082</v>
      </c>
      <c r="C11" s="14" t="s">
        <v>5126</v>
      </c>
      <c r="D11" s="14" t="s">
        <v>1228</v>
      </c>
      <c r="E11" s="14" t="s">
        <v>5084</v>
      </c>
      <c r="F11" s="40" t="str">
        <f>"42,0"</f>
        <v>42,0</v>
      </c>
      <c r="G11" s="14" t="s">
        <v>158</v>
      </c>
    </row>
    <row r="12" spans="1:7">
      <c r="A12" s="17" t="s">
        <v>73</v>
      </c>
      <c r="B12" s="14" t="s">
        <v>5160</v>
      </c>
      <c r="C12" s="14" t="s">
        <v>5161</v>
      </c>
      <c r="D12" s="14" t="s">
        <v>1249</v>
      </c>
      <c r="E12" s="14" t="s">
        <v>5162</v>
      </c>
      <c r="F12" s="40" t="str">
        <f>"26,0"</f>
        <v>26,0</v>
      </c>
      <c r="G12" s="14" t="s">
        <v>158</v>
      </c>
    </row>
    <row r="13" spans="1:7">
      <c r="A13" s="17" t="s">
        <v>75</v>
      </c>
      <c r="B13" s="14" t="s">
        <v>4846</v>
      </c>
      <c r="C13" s="14" t="s">
        <v>5008</v>
      </c>
      <c r="D13" s="14" t="s">
        <v>4211</v>
      </c>
      <c r="E13" s="14" t="s">
        <v>5009</v>
      </c>
      <c r="F13" s="40" t="str">
        <f>"25,4"</f>
        <v>25,4</v>
      </c>
      <c r="G13" s="14" t="s">
        <v>158</v>
      </c>
    </row>
    <row r="14" spans="1:7">
      <c r="A14" s="17" t="s">
        <v>87</v>
      </c>
      <c r="B14" s="14" t="s">
        <v>4036</v>
      </c>
      <c r="C14" s="14" t="s">
        <v>4037</v>
      </c>
      <c r="D14" s="14" t="s">
        <v>4038</v>
      </c>
      <c r="E14" s="14" t="s">
        <v>4039</v>
      </c>
      <c r="F14" s="40" t="str">
        <f>"3,7"</f>
        <v>3,7</v>
      </c>
      <c r="G14" s="14" t="s">
        <v>158</v>
      </c>
    </row>
    <row r="15" spans="1:7">
      <c r="A15" s="17" t="s">
        <v>15</v>
      </c>
      <c r="B15" s="14" t="s">
        <v>5082</v>
      </c>
      <c r="C15" s="14" t="s">
        <v>5083</v>
      </c>
      <c r="D15" s="14" t="s">
        <v>1228</v>
      </c>
      <c r="E15" s="14" t="s">
        <v>5084</v>
      </c>
      <c r="F15" s="40" t="str">
        <f>"42,0"</f>
        <v>42,0</v>
      </c>
      <c r="G15" s="14" t="s">
        <v>158</v>
      </c>
    </row>
    <row r="16" spans="1:7">
      <c r="A16" s="20" t="s">
        <v>62</v>
      </c>
      <c r="B16" s="18" t="s">
        <v>4846</v>
      </c>
      <c r="C16" s="18" t="s">
        <v>4847</v>
      </c>
      <c r="D16" s="18" t="s">
        <v>4211</v>
      </c>
      <c r="E16" s="18" t="s">
        <v>4848</v>
      </c>
      <c r="F16" s="38" t="str">
        <f>"25,4"</f>
        <v>25,4</v>
      </c>
      <c r="G16" s="18" t="s">
        <v>158</v>
      </c>
    </row>
    <row r="17" spans="1:7">
      <c r="B17" s="5" t="s">
        <v>40</v>
      </c>
    </row>
    <row r="18" spans="1:7" ht="15.95">
      <c r="A18" s="102" t="s">
        <v>783</v>
      </c>
      <c r="B18" s="102"/>
      <c r="C18" s="102"/>
      <c r="D18" s="102"/>
      <c r="E18" s="102"/>
      <c r="F18" s="102"/>
    </row>
    <row r="19" spans="1:7">
      <c r="A19" s="10" t="s">
        <v>15</v>
      </c>
      <c r="B19" s="7" t="s">
        <v>4856</v>
      </c>
      <c r="C19" s="7" t="s">
        <v>4857</v>
      </c>
      <c r="D19" s="7" t="s">
        <v>5057</v>
      </c>
      <c r="E19" s="7" t="s">
        <v>1238</v>
      </c>
      <c r="F19" s="41" t="str">
        <f>"36,8"</f>
        <v>36,8</v>
      </c>
      <c r="G19" s="7" t="s">
        <v>4858</v>
      </c>
    </row>
    <row r="20" spans="1:7">
      <c r="B20" s="5" t="s">
        <v>40</v>
      </c>
    </row>
  </sheetData>
  <mergeCells count="11">
    <mergeCell ref="A5:F5"/>
    <mergeCell ref="A9:F9"/>
    <mergeCell ref="A18:F18"/>
    <mergeCell ref="B3:B4"/>
    <mergeCell ref="A1:G2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K44"/>
  <sheetViews>
    <sheetView workbookViewId="0">
      <selection sqref="A1:K2"/>
    </sheetView>
  </sheetViews>
  <sheetFormatPr defaultColWidth="9.140625" defaultRowHeight="12.95"/>
  <cols>
    <col min="1" max="1" width="7.42578125" style="6" bestFit="1" customWidth="1"/>
    <col min="2" max="2" width="21.42578125" style="5" bestFit="1" customWidth="1"/>
    <col min="3" max="3" width="28.42578125" style="5" bestFit="1" customWidth="1"/>
    <col min="4" max="4" width="21.42578125" style="5" bestFit="1" customWidth="1"/>
    <col min="5" max="5" width="20.42578125" style="5" bestFit="1" customWidth="1"/>
    <col min="6" max="8" width="5.42578125" style="6" bestFit="1" customWidth="1"/>
    <col min="9" max="9" width="4.85546875" style="6" bestFit="1" customWidth="1"/>
    <col min="10" max="10" width="7.85546875" style="6" bestFit="1" customWidth="1"/>
    <col min="11" max="11" width="21.7109375" style="5" customWidth="1"/>
    <col min="12" max="16384" width="9.140625" style="3"/>
  </cols>
  <sheetData>
    <row r="1" spans="1:11" s="2" customFormat="1" ht="29.1" customHeight="1">
      <c r="A1" s="103" t="s">
        <v>5163</v>
      </c>
      <c r="B1" s="104"/>
      <c r="C1" s="105"/>
      <c r="D1" s="105"/>
      <c r="E1" s="105"/>
      <c r="F1" s="105"/>
      <c r="G1" s="105"/>
      <c r="H1" s="105"/>
      <c r="I1" s="105"/>
      <c r="J1" s="105"/>
      <c r="K1" s="106"/>
    </row>
    <row r="2" spans="1:11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1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6</v>
      </c>
      <c r="F3" s="114" t="s">
        <v>4897</v>
      </c>
      <c r="G3" s="114"/>
      <c r="H3" s="114"/>
      <c r="I3" s="114"/>
      <c r="J3" s="114" t="s">
        <v>10</v>
      </c>
      <c r="K3" s="99" t="s">
        <v>12</v>
      </c>
    </row>
    <row r="4" spans="1:11" s="1" customFormat="1" ht="21" customHeight="1" thickBot="1">
      <c r="A4" s="111"/>
      <c r="B4" s="116"/>
      <c r="C4" s="113"/>
      <c r="D4" s="113"/>
      <c r="E4" s="113"/>
      <c r="F4" s="96">
        <v>1</v>
      </c>
      <c r="G4" s="96">
        <v>2</v>
      </c>
      <c r="H4" s="96">
        <v>3</v>
      </c>
      <c r="I4" s="96" t="s">
        <v>13</v>
      </c>
      <c r="J4" s="113"/>
      <c r="K4" s="100"/>
    </row>
    <row r="5" spans="1:11" ht="15.95">
      <c r="A5" s="101" t="s">
        <v>4938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1">
      <c r="A6" s="13" t="s">
        <v>15</v>
      </c>
      <c r="B6" s="11" t="s">
        <v>4947</v>
      </c>
      <c r="C6" s="11" t="s">
        <v>5109</v>
      </c>
      <c r="D6" s="11" t="s">
        <v>4949</v>
      </c>
      <c r="E6" s="11" t="s">
        <v>4950</v>
      </c>
      <c r="F6" s="12" t="s">
        <v>33</v>
      </c>
      <c r="G6" s="12" t="s">
        <v>104</v>
      </c>
      <c r="H6" s="12" t="s">
        <v>81</v>
      </c>
      <c r="I6" s="13"/>
      <c r="J6" s="13" t="str">
        <f>"80,0"</f>
        <v>80,0</v>
      </c>
      <c r="K6" s="11" t="s">
        <v>158</v>
      </c>
    </row>
    <row r="7" spans="1:11">
      <c r="A7" s="20" t="s">
        <v>15</v>
      </c>
      <c r="B7" s="18" t="s">
        <v>4947</v>
      </c>
      <c r="C7" s="18" t="s">
        <v>4948</v>
      </c>
      <c r="D7" s="18" t="s">
        <v>4949</v>
      </c>
      <c r="E7" s="18" t="s">
        <v>4950</v>
      </c>
      <c r="F7" s="19" t="s">
        <v>33</v>
      </c>
      <c r="G7" s="19" t="s">
        <v>104</v>
      </c>
      <c r="H7" s="19" t="s">
        <v>81</v>
      </c>
      <c r="I7" s="20"/>
      <c r="J7" s="20" t="str">
        <f>"80,0"</f>
        <v>80,0</v>
      </c>
      <c r="K7" s="18" t="s">
        <v>158</v>
      </c>
    </row>
    <row r="8" spans="1:11">
      <c r="B8" s="5" t="s">
        <v>40</v>
      </c>
    </row>
    <row r="9" spans="1:11" ht="15.95">
      <c r="A9" s="102" t="s">
        <v>4954</v>
      </c>
      <c r="B9" s="102"/>
      <c r="C9" s="102"/>
      <c r="D9" s="102"/>
      <c r="E9" s="102"/>
      <c r="F9" s="102"/>
      <c r="G9" s="102"/>
      <c r="H9" s="102"/>
      <c r="I9" s="102"/>
      <c r="J9" s="102"/>
    </row>
    <row r="10" spans="1:11">
      <c r="A10" s="13" t="s">
        <v>15</v>
      </c>
      <c r="B10" s="11" t="s">
        <v>5043</v>
      </c>
      <c r="C10" s="11" t="s">
        <v>5044</v>
      </c>
      <c r="D10" s="11" t="s">
        <v>331</v>
      </c>
      <c r="E10" s="11" t="s">
        <v>1063</v>
      </c>
      <c r="F10" s="12" t="s">
        <v>25</v>
      </c>
      <c r="G10" s="21" t="s">
        <v>33</v>
      </c>
      <c r="H10" s="21" t="s">
        <v>33</v>
      </c>
      <c r="I10" s="13"/>
      <c r="J10" s="13" t="str">
        <f>"55,0"</f>
        <v>55,0</v>
      </c>
      <c r="K10" s="11" t="s">
        <v>5045</v>
      </c>
    </row>
    <row r="11" spans="1:11">
      <c r="A11" s="20" t="s">
        <v>62</v>
      </c>
      <c r="B11" s="18" t="s">
        <v>5046</v>
      </c>
      <c r="C11" s="18" t="s">
        <v>5047</v>
      </c>
      <c r="D11" s="18" t="s">
        <v>396</v>
      </c>
      <c r="E11" s="18" t="s">
        <v>3317</v>
      </c>
      <c r="F11" s="19" t="s">
        <v>21</v>
      </c>
      <c r="G11" s="19" t="s">
        <v>34</v>
      </c>
      <c r="H11" s="22" t="s">
        <v>25</v>
      </c>
      <c r="I11" s="20"/>
      <c r="J11" s="20" t="str">
        <f>"52,5"</f>
        <v>52,5</v>
      </c>
      <c r="K11" s="18" t="s">
        <v>158</v>
      </c>
    </row>
    <row r="12" spans="1:11">
      <c r="B12" s="5" t="s">
        <v>40</v>
      </c>
    </row>
    <row r="13" spans="1:11" ht="15.95">
      <c r="A13" s="102" t="s">
        <v>598</v>
      </c>
      <c r="B13" s="102"/>
      <c r="C13" s="102"/>
      <c r="D13" s="102"/>
      <c r="E13" s="102"/>
      <c r="F13" s="102"/>
      <c r="G13" s="102"/>
      <c r="H13" s="102"/>
      <c r="I13" s="102"/>
      <c r="J13" s="102"/>
    </row>
    <row r="14" spans="1:11">
      <c r="A14" s="10" t="s">
        <v>15</v>
      </c>
      <c r="B14" s="7" t="s">
        <v>4974</v>
      </c>
      <c r="C14" s="7" t="s">
        <v>4975</v>
      </c>
      <c r="D14" s="7" t="s">
        <v>615</v>
      </c>
      <c r="E14" s="7" t="s">
        <v>906</v>
      </c>
      <c r="F14" s="8" t="s">
        <v>80</v>
      </c>
      <c r="G14" s="8" t="s">
        <v>81</v>
      </c>
      <c r="H14" s="9" t="s">
        <v>67</v>
      </c>
      <c r="I14" s="10"/>
      <c r="J14" s="10" t="str">
        <f>"80,0"</f>
        <v>80,0</v>
      </c>
      <c r="K14" s="7" t="s">
        <v>158</v>
      </c>
    </row>
    <row r="15" spans="1:11">
      <c r="B15" s="5" t="s">
        <v>40</v>
      </c>
    </row>
    <row r="16" spans="1:11" ht="15.95">
      <c r="A16" s="102" t="s">
        <v>670</v>
      </c>
      <c r="B16" s="102"/>
      <c r="C16" s="102"/>
      <c r="D16" s="102"/>
      <c r="E16" s="102"/>
      <c r="F16" s="102"/>
      <c r="G16" s="102"/>
      <c r="H16" s="102"/>
      <c r="I16" s="102"/>
      <c r="J16" s="102"/>
    </row>
    <row r="17" spans="1:11">
      <c r="A17" s="13" t="s">
        <v>15</v>
      </c>
      <c r="B17" s="11" t="s">
        <v>5164</v>
      </c>
      <c r="C17" s="11" t="s">
        <v>5165</v>
      </c>
      <c r="D17" s="11" t="s">
        <v>5166</v>
      </c>
      <c r="E17" s="11" t="s">
        <v>5167</v>
      </c>
      <c r="F17" s="12" t="s">
        <v>32</v>
      </c>
      <c r="G17" s="21" t="s">
        <v>80</v>
      </c>
      <c r="H17" s="12" t="s">
        <v>80</v>
      </c>
      <c r="I17" s="12" t="s">
        <v>5168</v>
      </c>
      <c r="J17" s="13" t="str">
        <f>"75,0"</f>
        <v>75,0</v>
      </c>
      <c r="K17" s="11" t="s">
        <v>158</v>
      </c>
    </row>
    <row r="18" spans="1:11">
      <c r="A18" s="17" t="s">
        <v>15</v>
      </c>
      <c r="B18" s="14" t="s">
        <v>4999</v>
      </c>
      <c r="C18" s="14" t="s">
        <v>5169</v>
      </c>
      <c r="D18" s="14" t="s">
        <v>5001</v>
      </c>
      <c r="E18" s="14" t="s">
        <v>906</v>
      </c>
      <c r="F18" s="15" t="s">
        <v>67</v>
      </c>
      <c r="G18" s="15" t="s">
        <v>36</v>
      </c>
      <c r="H18" s="16" t="s">
        <v>37</v>
      </c>
      <c r="I18" s="17"/>
      <c r="J18" s="17" t="str">
        <f>"90,0"</f>
        <v>90,0</v>
      </c>
      <c r="K18" s="14" t="s">
        <v>5002</v>
      </c>
    </row>
    <row r="19" spans="1:11">
      <c r="A19" s="17" t="s">
        <v>62</v>
      </c>
      <c r="B19" s="14" t="s">
        <v>2135</v>
      </c>
      <c r="C19" s="14" t="s">
        <v>2136</v>
      </c>
      <c r="D19" s="14" t="s">
        <v>5078</v>
      </c>
      <c r="E19" s="14" t="s">
        <v>2137</v>
      </c>
      <c r="F19" s="15" t="s">
        <v>26</v>
      </c>
      <c r="G19" s="15" t="s">
        <v>57</v>
      </c>
      <c r="H19" s="16" t="s">
        <v>33</v>
      </c>
      <c r="I19" s="17"/>
      <c r="J19" s="17" t="str">
        <f>"67,5"</f>
        <v>67,5</v>
      </c>
      <c r="K19" s="14" t="s">
        <v>158</v>
      </c>
    </row>
    <row r="20" spans="1:11">
      <c r="A20" s="17" t="s">
        <v>15</v>
      </c>
      <c r="B20" s="14" t="s">
        <v>4995</v>
      </c>
      <c r="C20" s="14" t="s">
        <v>4996</v>
      </c>
      <c r="D20" s="14" t="s">
        <v>3690</v>
      </c>
      <c r="E20" s="14" t="s">
        <v>828</v>
      </c>
      <c r="F20" s="15" t="s">
        <v>81</v>
      </c>
      <c r="G20" s="15" t="s">
        <v>36</v>
      </c>
      <c r="H20" s="15" t="s">
        <v>37</v>
      </c>
      <c r="I20" s="17"/>
      <c r="J20" s="17" t="str">
        <f>"95,0"</f>
        <v>95,0</v>
      </c>
      <c r="K20" s="14" t="s">
        <v>4998</v>
      </c>
    </row>
    <row r="21" spans="1:11">
      <c r="A21" s="20" t="s">
        <v>62</v>
      </c>
      <c r="B21" s="18" t="s">
        <v>4999</v>
      </c>
      <c r="C21" s="18" t="s">
        <v>5000</v>
      </c>
      <c r="D21" s="18" t="s">
        <v>5001</v>
      </c>
      <c r="E21" s="18" t="s">
        <v>906</v>
      </c>
      <c r="F21" s="19" t="s">
        <v>67</v>
      </c>
      <c r="G21" s="19" t="s">
        <v>36</v>
      </c>
      <c r="H21" s="22" t="s">
        <v>37</v>
      </c>
      <c r="I21" s="20"/>
      <c r="J21" s="20" t="str">
        <f>"90,0"</f>
        <v>90,0</v>
      </c>
      <c r="K21" s="18" t="s">
        <v>5002</v>
      </c>
    </row>
    <row r="22" spans="1:11">
      <c r="B22" s="5" t="s">
        <v>40</v>
      </c>
    </row>
    <row r="23" spans="1:11" ht="15.95">
      <c r="A23" s="102" t="s">
        <v>724</v>
      </c>
      <c r="B23" s="102"/>
      <c r="C23" s="102"/>
      <c r="D23" s="102"/>
      <c r="E23" s="102"/>
      <c r="F23" s="102"/>
      <c r="G23" s="102"/>
      <c r="H23" s="102"/>
      <c r="I23" s="102"/>
      <c r="J23" s="102"/>
    </row>
    <row r="24" spans="1:11">
      <c r="A24" s="13" t="s">
        <v>15</v>
      </c>
      <c r="B24" s="11" t="s">
        <v>4846</v>
      </c>
      <c r="C24" s="11" t="s">
        <v>5008</v>
      </c>
      <c r="D24" s="11" t="s">
        <v>4211</v>
      </c>
      <c r="E24" s="11" t="s">
        <v>5009</v>
      </c>
      <c r="F24" s="21" t="s">
        <v>37</v>
      </c>
      <c r="G24" s="21" t="s">
        <v>37</v>
      </c>
      <c r="H24" s="12" t="s">
        <v>37</v>
      </c>
      <c r="I24" s="21" t="s">
        <v>5017</v>
      </c>
      <c r="J24" s="13" t="str">
        <f>"95,0"</f>
        <v>95,0</v>
      </c>
      <c r="K24" s="11" t="s">
        <v>158</v>
      </c>
    </row>
    <row r="25" spans="1:11">
      <c r="A25" s="17" t="s">
        <v>62</v>
      </c>
      <c r="B25" s="14" t="s">
        <v>5082</v>
      </c>
      <c r="C25" s="14" t="s">
        <v>5126</v>
      </c>
      <c r="D25" s="14" t="s">
        <v>1228</v>
      </c>
      <c r="E25" s="14" t="s">
        <v>5084</v>
      </c>
      <c r="F25" s="15" t="s">
        <v>67</v>
      </c>
      <c r="G25" s="15" t="s">
        <v>37</v>
      </c>
      <c r="H25" s="16" t="s">
        <v>38</v>
      </c>
      <c r="I25" s="17"/>
      <c r="J25" s="17" t="str">
        <f>"95,0"</f>
        <v>95,0</v>
      </c>
      <c r="K25" s="14" t="s">
        <v>158</v>
      </c>
    </row>
    <row r="26" spans="1:11">
      <c r="A26" s="17" t="s">
        <v>73</v>
      </c>
      <c r="B26" s="14" t="s">
        <v>2894</v>
      </c>
      <c r="C26" s="14" t="s">
        <v>2895</v>
      </c>
      <c r="D26" s="14" t="s">
        <v>769</v>
      </c>
      <c r="E26" s="14" t="s">
        <v>1697</v>
      </c>
      <c r="F26" s="15" t="s">
        <v>103</v>
      </c>
      <c r="G26" s="15" t="s">
        <v>26</v>
      </c>
      <c r="H26" s="16" t="s">
        <v>33</v>
      </c>
      <c r="I26" s="17"/>
      <c r="J26" s="17" t="str">
        <f>"60,0"</f>
        <v>60,0</v>
      </c>
      <c r="K26" s="14" t="s">
        <v>158</v>
      </c>
    </row>
    <row r="27" spans="1:11">
      <c r="A27" s="17" t="s">
        <v>15</v>
      </c>
      <c r="B27" s="14" t="s">
        <v>4846</v>
      </c>
      <c r="C27" s="14" t="s">
        <v>4847</v>
      </c>
      <c r="D27" s="14" t="s">
        <v>4211</v>
      </c>
      <c r="E27" s="14" t="s">
        <v>5009</v>
      </c>
      <c r="F27" s="16" t="s">
        <v>37</v>
      </c>
      <c r="G27" s="16" t="s">
        <v>37</v>
      </c>
      <c r="H27" s="15" t="s">
        <v>37</v>
      </c>
      <c r="I27" s="16" t="s">
        <v>5017</v>
      </c>
      <c r="J27" s="17" t="str">
        <f>"95,0"</f>
        <v>95,0</v>
      </c>
      <c r="K27" s="14" t="s">
        <v>158</v>
      </c>
    </row>
    <row r="28" spans="1:11">
      <c r="A28" s="20" t="s">
        <v>62</v>
      </c>
      <c r="B28" s="18" t="s">
        <v>5158</v>
      </c>
      <c r="C28" s="18" t="s">
        <v>5170</v>
      </c>
      <c r="D28" s="18" t="s">
        <v>776</v>
      </c>
      <c r="E28" s="18" t="s">
        <v>91</v>
      </c>
      <c r="F28" s="19" t="s">
        <v>37</v>
      </c>
      <c r="G28" s="22" t="s">
        <v>38</v>
      </c>
      <c r="H28" s="22" t="s">
        <v>38</v>
      </c>
      <c r="I28" s="20"/>
      <c r="J28" s="20" t="str">
        <f>"95,0"</f>
        <v>95,0</v>
      </c>
      <c r="K28" s="18" t="s">
        <v>158</v>
      </c>
    </row>
    <row r="29" spans="1:11">
      <c r="B29" s="5" t="s">
        <v>40</v>
      </c>
    </row>
    <row r="30" spans="1:11" ht="15.95">
      <c r="A30" s="102" t="s">
        <v>783</v>
      </c>
      <c r="B30" s="102"/>
      <c r="C30" s="102"/>
      <c r="D30" s="102"/>
      <c r="E30" s="102"/>
      <c r="F30" s="102"/>
      <c r="G30" s="102"/>
      <c r="H30" s="102"/>
      <c r="I30" s="102"/>
      <c r="J30" s="102"/>
    </row>
    <row r="31" spans="1:11">
      <c r="A31" s="13" t="s">
        <v>15</v>
      </c>
      <c r="B31" s="11" t="s">
        <v>5018</v>
      </c>
      <c r="C31" s="11" t="s">
        <v>5019</v>
      </c>
      <c r="D31" s="11" t="s">
        <v>5020</v>
      </c>
      <c r="E31" s="11" t="s">
        <v>5171</v>
      </c>
      <c r="F31" s="12" t="s">
        <v>38</v>
      </c>
      <c r="G31" s="12" t="s">
        <v>47</v>
      </c>
      <c r="H31" s="21" t="s">
        <v>55</v>
      </c>
      <c r="I31" s="13"/>
      <c r="J31" s="13" t="str">
        <f>"107,5"</f>
        <v>107,5</v>
      </c>
      <c r="K31" s="11" t="s">
        <v>5022</v>
      </c>
    </row>
    <row r="32" spans="1:11">
      <c r="A32" s="17" t="s">
        <v>62</v>
      </c>
      <c r="B32" s="14" t="s">
        <v>5172</v>
      </c>
      <c r="C32" s="14" t="s">
        <v>5173</v>
      </c>
      <c r="D32" s="14" t="s">
        <v>5020</v>
      </c>
      <c r="E32" s="14" t="s">
        <v>3873</v>
      </c>
      <c r="F32" s="15" t="s">
        <v>37</v>
      </c>
      <c r="G32" s="15" t="s">
        <v>49</v>
      </c>
      <c r="H32" s="16" t="s">
        <v>69</v>
      </c>
      <c r="I32" s="17"/>
      <c r="J32" s="17" t="str">
        <f>"105,0"</f>
        <v>105,0</v>
      </c>
      <c r="K32" s="14" t="s">
        <v>5174</v>
      </c>
    </row>
    <row r="33" spans="1:11">
      <c r="A33" s="20" t="s">
        <v>73</v>
      </c>
      <c r="B33" s="18" t="s">
        <v>4856</v>
      </c>
      <c r="C33" s="18" t="s">
        <v>4857</v>
      </c>
      <c r="D33" s="18" t="s">
        <v>5057</v>
      </c>
      <c r="E33" s="18" t="s">
        <v>1238</v>
      </c>
      <c r="F33" s="19" t="s">
        <v>67</v>
      </c>
      <c r="G33" s="19" t="s">
        <v>38</v>
      </c>
      <c r="H33" s="22" t="s">
        <v>84</v>
      </c>
      <c r="I33" s="20"/>
      <c r="J33" s="20" t="str">
        <f>"100,0"</f>
        <v>100,0</v>
      </c>
      <c r="K33" s="18" t="s">
        <v>4858</v>
      </c>
    </row>
    <row r="34" spans="1:11">
      <c r="B34" s="5" t="s">
        <v>40</v>
      </c>
    </row>
    <row r="37" spans="1:11" ht="18">
      <c r="B37" s="23" t="s">
        <v>830</v>
      </c>
      <c r="C37" s="23"/>
      <c r="E37" s="3"/>
    </row>
    <row r="38" spans="1:11" ht="15.95">
      <c r="B38" s="95" t="s">
        <v>855</v>
      </c>
      <c r="C38" s="95"/>
      <c r="E38" s="3"/>
    </row>
    <row r="39" spans="1:11" ht="14.1">
      <c r="B39" s="24"/>
      <c r="C39" s="24" t="s">
        <v>832</v>
      </c>
      <c r="E39" s="3"/>
    </row>
    <row r="40" spans="1:11" ht="14.1">
      <c r="B40" s="4" t="s">
        <v>833</v>
      </c>
      <c r="C40" s="4" t="s">
        <v>834</v>
      </c>
      <c r="D40" s="4" t="s">
        <v>2294</v>
      </c>
      <c r="E40" s="3"/>
    </row>
    <row r="41" spans="1:11">
      <c r="B41" s="5" t="s">
        <v>5018</v>
      </c>
      <c r="C41" s="5" t="s">
        <v>832</v>
      </c>
      <c r="D41" s="6" t="s">
        <v>47</v>
      </c>
      <c r="E41" s="3"/>
    </row>
    <row r="42" spans="1:11">
      <c r="B42" s="5" t="s">
        <v>5172</v>
      </c>
      <c r="C42" s="5" t="s">
        <v>832</v>
      </c>
      <c r="D42" s="6" t="s">
        <v>49</v>
      </c>
      <c r="E42" s="3"/>
    </row>
    <row r="43" spans="1:11">
      <c r="B43" s="30" t="s">
        <v>4856</v>
      </c>
      <c r="C43" s="5" t="s">
        <v>832</v>
      </c>
      <c r="D43" s="6" t="s">
        <v>38</v>
      </c>
      <c r="E43" s="3"/>
    </row>
    <row r="44" spans="1:11">
      <c r="B44" s="5" t="s">
        <v>40</v>
      </c>
    </row>
  </sheetData>
  <mergeCells count="15">
    <mergeCell ref="A16:J16"/>
    <mergeCell ref="A23:J23"/>
    <mergeCell ref="A30:J30"/>
    <mergeCell ref="B3:B4"/>
    <mergeCell ref="J3:J4"/>
    <mergeCell ref="K3:K4"/>
    <mergeCell ref="A5:J5"/>
    <mergeCell ref="A9:J9"/>
    <mergeCell ref="A13:J13"/>
    <mergeCell ref="A1:K2"/>
    <mergeCell ref="A3:A4"/>
    <mergeCell ref="C3:C4"/>
    <mergeCell ref="D3:D4"/>
    <mergeCell ref="E3:E4"/>
    <mergeCell ref="F3:I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2"/>
  <sheetViews>
    <sheetView workbookViewId="0">
      <selection sqref="A1:Q2"/>
    </sheetView>
  </sheetViews>
  <sheetFormatPr defaultColWidth="9.140625" defaultRowHeight="12.95"/>
  <cols>
    <col min="1" max="1" width="7.42578125" style="6" bestFit="1" customWidth="1"/>
    <col min="2" max="2" width="18.7109375" style="5" bestFit="1" customWidth="1"/>
    <col min="3" max="3" width="28.42578125" style="5" bestFit="1" customWidth="1"/>
    <col min="4" max="4" width="21.42578125" style="5" bestFit="1" customWidth="1"/>
    <col min="5" max="5" width="10.42578125" style="5" bestFit="1" customWidth="1"/>
    <col min="6" max="6" width="19.28515625" style="5" bestFit="1" customWidth="1"/>
    <col min="7" max="9" width="4.42578125" style="6" bestFit="1" customWidth="1"/>
    <col min="10" max="10" width="4.85546875" style="6" bestFit="1" customWidth="1"/>
    <col min="11" max="13" width="4.42578125" style="6" bestFit="1" customWidth="1"/>
    <col min="14" max="14" width="4.85546875" style="6" bestFit="1" customWidth="1"/>
    <col min="15" max="15" width="7.85546875" style="39" bestFit="1" customWidth="1"/>
    <col min="16" max="16" width="8.42578125" style="6" bestFit="1" customWidth="1"/>
    <col min="17" max="17" width="19.85546875" style="5" bestFit="1" customWidth="1"/>
    <col min="18" max="16384" width="9.140625" style="3"/>
  </cols>
  <sheetData>
    <row r="1" spans="1:17" s="2" customFormat="1" ht="29.1" customHeight="1">
      <c r="A1" s="103" t="s">
        <v>5175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6"/>
    </row>
    <row r="2" spans="1:17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</row>
    <row r="3" spans="1:17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5176</v>
      </c>
      <c r="F3" s="114" t="s">
        <v>6</v>
      </c>
      <c r="G3" s="114" t="s">
        <v>5177</v>
      </c>
      <c r="H3" s="114"/>
      <c r="I3" s="114"/>
      <c r="J3" s="114"/>
      <c r="K3" s="114" t="s">
        <v>5178</v>
      </c>
      <c r="L3" s="114"/>
      <c r="M3" s="114"/>
      <c r="N3" s="114"/>
      <c r="O3" s="117" t="s">
        <v>10</v>
      </c>
      <c r="P3" s="114" t="s">
        <v>11</v>
      </c>
      <c r="Q3" s="99" t="s">
        <v>12</v>
      </c>
    </row>
    <row r="4" spans="1:17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96">
        <v>1</v>
      </c>
      <c r="L4" s="96">
        <v>2</v>
      </c>
      <c r="M4" s="96">
        <v>3</v>
      </c>
      <c r="N4" s="96" t="s">
        <v>13</v>
      </c>
      <c r="O4" s="118"/>
      <c r="P4" s="113"/>
      <c r="Q4" s="100"/>
    </row>
    <row r="5" spans="1:17" ht="15.95">
      <c r="A5" s="101" t="s">
        <v>98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7">
      <c r="A6" s="10" t="s">
        <v>15</v>
      </c>
      <c r="B6" s="7" t="s">
        <v>51</v>
      </c>
      <c r="C6" s="7" t="s">
        <v>52</v>
      </c>
      <c r="D6" s="7" t="s">
        <v>101</v>
      </c>
      <c r="E6" s="7" t="str">
        <f>"2,1920"</f>
        <v>2,1920</v>
      </c>
      <c r="F6" s="7" t="s">
        <v>54</v>
      </c>
      <c r="G6" s="8" t="s">
        <v>4071</v>
      </c>
      <c r="H6" s="8" t="s">
        <v>3063</v>
      </c>
      <c r="I6" s="8" t="s">
        <v>4669</v>
      </c>
      <c r="J6" s="10"/>
      <c r="K6" s="8" t="s">
        <v>20</v>
      </c>
      <c r="L6" s="8" t="s">
        <v>135</v>
      </c>
      <c r="M6" s="8" t="s">
        <v>21</v>
      </c>
      <c r="N6" s="10"/>
      <c r="O6" s="41" t="str">
        <f>"72,5"</f>
        <v>72,5</v>
      </c>
      <c r="P6" s="10" t="str">
        <f>"158,9200"</f>
        <v>158,9200</v>
      </c>
      <c r="Q6" s="7" t="s">
        <v>61</v>
      </c>
    </row>
    <row r="7" spans="1:17">
      <c r="B7" s="5" t="s">
        <v>40</v>
      </c>
    </row>
    <row r="8" spans="1:17" ht="15.95">
      <c r="A8" s="102" t="s">
        <v>141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</row>
    <row r="9" spans="1:17">
      <c r="A9" s="13" t="s">
        <v>15</v>
      </c>
      <c r="B9" s="11" t="s">
        <v>4903</v>
      </c>
      <c r="C9" s="11" t="s">
        <v>4904</v>
      </c>
      <c r="D9" s="11" t="s">
        <v>193</v>
      </c>
      <c r="E9" s="11" t="str">
        <f>"1,9508"</f>
        <v>1,9508</v>
      </c>
      <c r="F9" s="11" t="s">
        <v>828</v>
      </c>
      <c r="G9" s="12" t="s">
        <v>4669</v>
      </c>
      <c r="H9" s="12" t="s">
        <v>135</v>
      </c>
      <c r="I9" s="12" t="s">
        <v>21</v>
      </c>
      <c r="J9" s="13"/>
      <c r="K9" s="12" t="s">
        <v>21</v>
      </c>
      <c r="L9" s="21" t="s">
        <v>82</v>
      </c>
      <c r="M9" s="21" t="s">
        <v>82</v>
      </c>
      <c r="N9" s="13"/>
      <c r="O9" s="37" t="str">
        <f>"80,0"</f>
        <v>80,0</v>
      </c>
      <c r="P9" s="13" t="str">
        <f>"156,0640"</f>
        <v>156,0640</v>
      </c>
      <c r="Q9" s="11" t="s">
        <v>4907</v>
      </c>
    </row>
    <row r="10" spans="1:17">
      <c r="A10" s="20" t="s">
        <v>62</v>
      </c>
      <c r="B10" s="18" t="s">
        <v>5179</v>
      </c>
      <c r="C10" s="18" t="s">
        <v>5180</v>
      </c>
      <c r="D10" s="18" t="s">
        <v>165</v>
      </c>
      <c r="E10" s="18" t="str">
        <f>"1,9158"</f>
        <v>1,9158</v>
      </c>
      <c r="F10" s="18" t="s">
        <v>1121</v>
      </c>
      <c r="G10" s="19" t="s">
        <v>24</v>
      </c>
      <c r="H10" s="19" t="s">
        <v>4071</v>
      </c>
      <c r="I10" s="22" t="s">
        <v>3063</v>
      </c>
      <c r="J10" s="20"/>
      <c r="K10" s="19" t="s">
        <v>20</v>
      </c>
      <c r="L10" s="22" t="s">
        <v>135</v>
      </c>
      <c r="M10" s="19" t="s">
        <v>135</v>
      </c>
      <c r="N10" s="20"/>
      <c r="O10" s="38" t="str">
        <f>"65,0"</f>
        <v>65,0</v>
      </c>
      <c r="P10" s="20" t="str">
        <f>"124,5270"</f>
        <v>124,5270</v>
      </c>
      <c r="Q10" s="18" t="s">
        <v>158</v>
      </c>
    </row>
    <row r="11" spans="1:17">
      <c r="B11" s="5" t="s">
        <v>40</v>
      </c>
    </row>
    <row r="12" spans="1:17" ht="15.95">
      <c r="A12" s="102" t="s">
        <v>241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</row>
    <row r="13" spans="1:17">
      <c r="A13" s="10" t="s">
        <v>15</v>
      </c>
      <c r="B13" s="7" t="s">
        <v>2435</v>
      </c>
      <c r="C13" s="7" t="s">
        <v>4697</v>
      </c>
      <c r="D13" s="7" t="s">
        <v>2441</v>
      </c>
      <c r="E13" s="7" t="str">
        <f>"1,2680"</f>
        <v>1,2680</v>
      </c>
      <c r="F13" s="7" t="s">
        <v>2438</v>
      </c>
      <c r="G13" s="8" t="s">
        <v>25</v>
      </c>
      <c r="H13" s="9" t="s">
        <v>48</v>
      </c>
      <c r="I13" s="9" t="s">
        <v>48</v>
      </c>
      <c r="J13" s="10"/>
      <c r="K13" s="9" t="s">
        <v>33</v>
      </c>
      <c r="L13" s="8" t="s">
        <v>33</v>
      </c>
      <c r="M13" s="9" t="s">
        <v>81</v>
      </c>
      <c r="N13" s="10"/>
      <c r="O13" s="41" t="str">
        <f>"125,0"</f>
        <v>125,0</v>
      </c>
      <c r="P13" s="10" t="str">
        <f>"158,5000"</f>
        <v>158,5000</v>
      </c>
      <c r="Q13" s="7" t="s">
        <v>158</v>
      </c>
    </row>
    <row r="14" spans="1:17">
      <c r="B14" s="5" t="s">
        <v>40</v>
      </c>
    </row>
    <row r="15" spans="1:17" ht="15.95">
      <c r="A15" s="102" t="s">
        <v>301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</row>
    <row r="16" spans="1:17">
      <c r="A16" s="13" t="s">
        <v>15</v>
      </c>
      <c r="B16" s="11" t="s">
        <v>5181</v>
      </c>
      <c r="C16" s="11" t="s">
        <v>5182</v>
      </c>
      <c r="D16" s="11" t="s">
        <v>2481</v>
      </c>
      <c r="E16" s="11" t="str">
        <f>"1,2036"</f>
        <v>1,2036</v>
      </c>
      <c r="F16" s="11" t="s">
        <v>1859</v>
      </c>
      <c r="G16" s="12" t="s">
        <v>82</v>
      </c>
      <c r="H16" s="12" t="s">
        <v>26</v>
      </c>
      <c r="I16" s="21" t="s">
        <v>48</v>
      </c>
      <c r="J16" s="13"/>
      <c r="K16" s="12" t="s">
        <v>32</v>
      </c>
      <c r="L16" s="12" t="s">
        <v>80</v>
      </c>
      <c r="M16" s="21" t="s">
        <v>104</v>
      </c>
      <c r="N16" s="13"/>
      <c r="O16" s="37" t="str">
        <f>"135,0"</f>
        <v>135,0</v>
      </c>
      <c r="P16" s="13" t="str">
        <f>"162,4860"</f>
        <v>162,4860</v>
      </c>
      <c r="Q16" s="11" t="s">
        <v>158</v>
      </c>
    </row>
    <row r="17" spans="1:17">
      <c r="A17" s="20" t="s">
        <v>92</v>
      </c>
      <c r="B17" s="18" t="s">
        <v>5183</v>
      </c>
      <c r="C17" s="18" t="s">
        <v>5184</v>
      </c>
      <c r="D17" s="18" t="s">
        <v>1013</v>
      </c>
      <c r="E17" s="18" t="str">
        <f>"1,1562"</f>
        <v>1,1562</v>
      </c>
      <c r="F17" s="18" t="s">
        <v>91</v>
      </c>
      <c r="G17" s="22" t="s">
        <v>26</v>
      </c>
      <c r="H17" s="20"/>
      <c r="I17" s="20"/>
      <c r="J17" s="20"/>
      <c r="K17" s="22"/>
      <c r="L17" s="20"/>
      <c r="M17" s="20"/>
      <c r="N17" s="20"/>
      <c r="O17" s="38">
        <v>0</v>
      </c>
      <c r="P17" s="20" t="str">
        <f>"0,0000"</f>
        <v>0,0000</v>
      </c>
      <c r="Q17" s="18" t="s">
        <v>158</v>
      </c>
    </row>
    <row r="18" spans="1:17">
      <c r="B18" s="5" t="s">
        <v>40</v>
      </c>
    </row>
    <row r="19" spans="1:17" ht="15.95">
      <c r="A19" s="102" t="s">
        <v>334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1:17">
      <c r="A20" s="13" t="s">
        <v>15</v>
      </c>
      <c r="B20" s="11" t="s">
        <v>5185</v>
      </c>
      <c r="C20" s="11" t="s">
        <v>5186</v>
      </c>
      <c r="D20" s="11" t="s">
        <v>3886</v>
      </c>
      <c r="E20" s="11" t="str">
        <f>"1,0756"</f>
        <v>1,0756</v>
      </c>
      <c r="F20" s="11" t="s">
        <v>3976</v>
      </c>
      <c r="G20" s="12" t="s">
        <v>20</v>
      </c>
      <c r="H20" s="12" t="s">
        <v>82</v>
      </c>
      <c r="I20" s="21" t="s">
        <v>103</v>
      </c>
      <c r="J20" s="13"/>
      <c r="K20" s="12" t="s">
        <v>21</v>
      </c>
      <c r="L20" s="12" t="s">
        <v>83</v>
      </c>
      <c r="M20" s="12" t="s">
        <v>25</v>
      </c>
      <c r="N20" s="13"/>
      <c r="O20" s="37" t="str">
        <f>"100,0"</f>
        <v>100,0</v>
      </c>
      <c r="P20" s="13" t="str">
        <f>"117,8858"</f>
        <v>117,8858</v>
      </c>
      <c r="Q20" s="11" t="s">
        <v>158</v>
      </c>
    </row>
    <row r="21" spans="1:17">
      <c r="A21" s="20" t="s">
        <v>15</v>
      </c>
      <c r="B21" s="18" t="s">
        <v>595</v>
      </c>
      <c r="C21" s="18" t="s">
        <v>596</v>
      </c>
      <c r="D21" s="18" t="s">
        <v>536</v>
      </c>
      <c r="E21" s="18" t="str">
        <f>"1,0328"</f>
        <v>1,0328</v>
      </c>
      <c r="F21" s="18" t="s">
        <v>594</v>
      </c>
      <c r="G21" s="19" t="s">
        <v>24</v>
      </c>
      <c r="H21" s="19" t="s">
        <v>4669</v>
      </c>
      <c r="I21" s="19" t="s">
        <v>21</v>
      </c>
      <c r="J21" s="20"/>
      <c r="K21" s="19" t="s">
        <v>5062</v>
      </c>
      <c r="L21" s="19" t="s">
        <v>24</v>
      </c>
      <c r="M21" s="19" t="s">
        <v>4669</v>
      </c>
      <c r="N21" s="20"/>
      <c r="O21" s="38" t="str">
        <f>"72,5"</f>
        <v>72,5</v>
      </c>
      <c r="P21" s="20" t="str">
        <f>"95,3197"</f>
        <v>95,3197</v>
      </c>
      <c r="Q21" s="18" t="s">
        <v>5187</v>
      </c>
    </row>
    <row r="22" spans="1:17">
      <c r="B22" s="5" t="s">
        <v>40</v>
      </c>
    </row>
  </sheetData>
  <mergeCells count="17">
    <mergeCell ref="A15:P15"/>
    <mergeCell ref="A19:P19"/>
    <mergeCell ref="B3:B4"/>
    <mergeCell ref="O3:O4"/>
    <mergeCell ref="P3:P4"/>
    <mergeCell ref="Q3:Q4"/>
    <mergeCell ref="A5:P5"/>
    <mergeCell ref="A8:P8"/>
    <mergeCell ref="A12:P12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U203"/>
  <sheetViews>
    <sheetView tabSelected="1" topLeftCell="A136" workbookViewId="0">
      <selection activeCell="O140" sqref="O140"/>
    </sheetView>
  </sheetViews>
  <sheetFormatPr defaultColWidth="9.140625" defaultRowHeight="12.95"/>
  <cols>
    <col min="1" max="1" width="7.42578125" style="6" bestFit="1" customWidth="1"/>
    <col min="2" max="2" width="29.7109375" style="5" bestFit="1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23" style="5" bestFit="1" customWidth="1"/>
    <col min="7" max="9" width="5.42578125" style="6" bestFit="1" customWidth="1"/>
    <col min="10" max="10" width="4.85546875" style="6" bestFit="1" customWidth="1"/>
    <col min="11" max="18" width="5.42578125" style="6" bestFit="1" customWidth="1"/>
    <col min="19" max="19" width="7.85546875" style="39" bestFit="1" customWidth="1"/>
    <col min="20" max="20" width="8.42578125" style="6" bestFit="1" customWidth="1"/>
    <col min="21" max="21" width="29.42578125" style="5" bestFit="1" customWidth="1"/>
    <col min="22" max="16384" width="9.140625" style="3"/>
  </cols>
  <sheetData>
    <row r="1" spans="1:21" s="2" customFormat="1" ht="29.1" customHeight="1">
      <c r="A1" s="103" t="s">
        <v>1574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/>
    </row>
    <row r="2" spans="1:21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9"/>
    </row>
    <row r="3" spans="1:21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5</v>
      </c>
      <c r="F3" s="114" t="s">
        <v>6</v>
      </c>
      <c r="G3" s="114" t="s">
        <v>7</v>
      </c>
      <c r="H3" s="114"/>
      <c r="I3" s="114"/>
      <c r="J3" s="114"/>
      <c r="K3" s="114" t="s">
        <v>8</v>
      </c>
      <c r="L3" s="114"/>
      <c r="M3" s="114"/>
      <c r="N3" s="114"/>
      <c r="O3" s="114" t="s">
        <v>9</v>
      </c>
      <c r="P3" s="114"/>
      <c r="Q3" s="114"/>
      <c r="R3" s="114"/>
      <c r="S3" s="117" t="s">
        <v>10</v>
      </c>
      <c r="T3" s="114" t="s">
        <v>11</v>
      </c>
      <c r="U3" s="99" t="s">
        <v>12</v>
      </c>
    </row>
    <row r="4" spans="1:21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96">
        <v>1</v>
      </c>
      <c r="L4" s="96">
        <v>2</v>
      </c>
      <c r="M4" s="96">
        <v>3</v>
      </c>
      <c r="N4" s="96" t="s">
        <v>13</v>
      </c>
      <c r="O4" s="96">
        <v>1</v>
      </c>
      <c r="P4" s="96">
        <v>2</v>
      </c>
      <c r="Q4" s="96">
        <v>3</v>
      </c>
      <c r="R4" s="96" t="s">
        <v>13</v>
      </c>
      <c r="S4" s="118"/>
      <c r="T4" s="113"/>
      <c r="U4" s="100"/>
    </row>
    <row r="5" spans="1:21" ht="15.95">
      <c r="A5" s="101" t="s">
        <v>98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1:21">
      <c r="A6" s="10" t="s">
        <v>15</v>
      </c>
      <c r="B6" s="7" t="s">
        <v>1369</v>
      </c>
      <c r="C6" s="7" t="s">
        <v>1370</v>
      </c>
      <c r="D6" s="7" t="s">
        <v>899</v>
      </c>
      <c r="E6" s="7" t="str">
        <f>"1,2654"</f>
        <v>1,2654</v>
      </c>
      <c r="F6" s="7" t="s">
        <v>594</v>
      </c>
      <c r="G6" s="8" t="s">
        <v>70</v>
      </c>
      <c r="H6" s="8" t="s">
        <v>145</v>
      </c>
      <c r="I6" s="8" t="s">
        <v>71</v>
      </c>
      <c r="J6" s="10"/>
      <c r="K6" s="8" t="s">
        <v>33</v>
      </c>
      <c r="L6" s="8" t="s">
        <v>140</v>
      </c>
      <c r="M6" s="9" t="s">
        <v>80</v>
      </c>
      <c r="N6" s="10"/>
      <c r="O6" s="8" t="s">
        <v>209</v>
      </c>
      <c r="P6" s="9" t="s">
        <v>59</v>
      </c>
      <c r="Q6" s="9" t="s">
        <v>59</v>
      </c>
      <c r="R6" s="10"/>
      <c r="S6" s="41" t="str">
        <f>"337,5"</f>
        <v>337,5</v>
      </c>
      <c r="T6" s="10" t="str">
        <f>"427,0725"</f>
        <v>427,0725</v>
      </c>
      <c r="U6" s="7" t="s">
        <v>1371</v>
      </c>
    </row>
    <row r="7" spans="1:21">
      <c r="B7" s="5" t="s">
        <v>40</v>
      </c>
    </row>
    <row r="8" spans="1:21" ht="15.95">
      <c r="A8" s="102" t="s">
        <v>141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</row>
    <row r="9" spans="1:21">
      <c r="A9" s="13" t="s">
        <v>15</v>
      </c>
      <c r="B9" s="11" t="s">
        <v>1575</v>
      </c>
      <c r="C9" s="11" t="s">
        <v>1576</v>
      </c>
      <c r="D9" s="11" t="s">
        <v>1577</v>
      </c>
      <c r="E9" s="11" t="str">
        <f>"1,2141"</f>
        <v>1,2141</v>
      </c>
      <c r="F9" s="11" t="s">
        <v>1578</v>
      </c>
      <c r="G9" s="12" t="s">
        <v>151</v>
      </c>
      <c r="H9" s="21" t="s">
        <v>351</v>
      </c>
      <c r="I9" s="21" t="s">
        <v>351</v>
      </c>
      <c r="J9" s="13"/>
      <c r="K9" s="12" t="s">
        <v>33</v>
      </c>
      <c r="L9" s="12" t="s">
        <v>80</v>
      </c>
      <c r="M9" s="12" t="s">
        <v>104</v>
      </c>
      <c r="N9" s="13"/>
      <c r="O9" s="12" t="s">
        <v>151</v>
      </c>
      <c r="P9" s="21" t="s">
        <v>248</v>
      </c>
      <c r="Q9" s="12" t="s">
        <v>550</v>
      </c>
      <c r="R9" s="13"/>
      <c r="S9" s="37" t="str">
        <f>"410,0"</f>
        <v>410,0</v>
      </c>
      <c r="T9" s="13" t="str">
        <f>"497,7810"</f>
        <v>497,7810</v>
      </c>
      <c r="U9" s="11" t="s">
        <v>158</v>
      </c>
    </row>
    <row r="10" spans="1:21">
      <c r="A10" s="17" t="s">
        <v>62</v>
      </c>
      <c r="B10" s="14" t="s">
        <v>1579</v>
      </c>
      <c r="C10" s="14" t="s">
        <v>1580</v>
      </c>
      <c r="D10" s="14" t="s">
        <v>150</v>
      </c>
      <c r="E10" s="14" t="str">
        <f>"1,1766"</f>
        <v>1,1766</v>
      </c>
      <c r="F10" s="14" t="s">
        <v>125</v>
      </c>
      <c r="G10" s="15" t="s">
        <v>205</v>
      </c>
      <c r="H10" s="16" t="s">
        <v>427</v>
      </c>
      <c r="I10" s="16" t="s">
        <v>347</v>
      </c>
      <c r="J10" s="17"/>
      <c r="K10" s="15" t="s">
        <v>140</v>
      </c>
      <c r="L10" s="15" t="s">
        <v>104</v>
      </c>
      <c r="M10" s="15" t="s">
        <v>81</v>
      </c>
      <c r="N10" s="17"/>
      <c r="O10" s="15" t="s">
        <v>205</v>
      </c>
      <c r="P10" s="15" t="s">
        <v>152</v>
      </c>
      <c r="Q10" s="16" t="s">
        <v>248</v>
      </c>
      <c r="R10" s="17"/>
      <c r="S10" s="40" t="str">
        <f>"400,0"</f>
        <v>400,0</v>
      </c>
      <c r="T10" s="17" t="str">
        <f>"470,6400"</f>
        <v>470,6400</v>
      </c>
      <c r="U10" s="14" t="s">
        <v>126</v>
      </c>
    </row>
    <row r="11" spans="1:21">
      <c r="A11" s="20" t="s">
        <v>15</v>
      </c>
      <c r="B11" s="18" t="s">
        <v>1581</v>
      </c>
      <c r="C11" s="18" t="s">
        <v>1582</v>
      </c>
      <c r="D11" s="18" t="s">
        <v>189</v>
      </c>
      <c r="E11" s="18" t="str">
        <f>"1,1849"</f>
        <v>1,1849</v>
      </c>
      <c r="F11" s="18" t="s">
        <v>1204</v>
      </c>
      <c r="G11" s="19" t="s">
        <v>36</v>
      </c>
      <c r="H11" s="19" t="s">
        <v>38</v>
      </c>
      <c r="I11" s="22" t="s">
        <v>69</v>
      </c>
      <c r="J11" s="20"/>
      <c r="K11" s="19" t="s">
        <v>82</v>
      </c>
      <c r="L11" s="22" t="s">
        <v>103</v>
      </c>
      <c r="M11" s="22" t="s">
        <v>103</v>
      </c>
      <c r="N11" s="20"/>
      <c r="O11" s="19" t="s">
        <v>36</v>
      </c>
      <c r="P11" s="19" t="s">
        <v>38</v>
      </c>
      <c r="Q11" s="22" t="s">
        <v>69</v>
      </c>
      <c r="R11" s="20"/>
      <c r="S11" s="38" t="str">
        <f>"245,0"</f>
        <v>245,0</v>
      </c>
      <c r="T11" s="20" t="str">
        <f>"294,3647"</f>
        <v>294,3647</v>
      </c>
      <c r="U11" s="18" t="s">
        <v>1583</v>
      </c>
    </row>
    <row r="12" spans="1:21">
      <c r="B12" s="5" t="s">
        <v>40</v>
      </c>
    </row>
    <row r="13" spans="1:21" ht="15.95">
      <c r="A13" s="102" t="s">
        <v>195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</row>
    <row r="14" spans="1:21">
      <c r="A14" s="13" t="s">
        <v>15</v>
      </c>
      <c r="B14" s="11" t="s">
        <v>1584</v>
      </c>
      <c r="C14" s="11" t="s">
        <v>1585</v>
      </c>
      <c r="D14" s="11" t="s">
        <v>1586</v>
      </c>
      <c r="E14" s="11" t="str">
        <f>"1,1178"</f>
        <v>1,1178</v>
      </c>
      <c r="F14" s="11" t="s">
        <v>728</v>
      </c>
      <c r="G14" s="12" t="s">
        <v>351</v>
      </c>
      <c r="H14" s="21" t="s">
        <v>368</v>
      </c>
      <c r="I14" s="12" t="s">
        <v>368</v>
      </c>
      <c r="J14" s="13"/>
      <c r="K14" s="21" t="s">
        <v>110</v>
      </c>
      <c r="L14" s="12" t="s">
        <v>38</v>
      </c>
      <c r="M14" s="12" t="s">
        <v>46</v>
      </c>
      <c r="N14" s="13"/>
      <c r="O14" s="12" t="s">
        <v>58</v>
      </c>
      <c r="P14" s="12" t="s">
        <v>254</v>
      </c>
      <c r="Q14" s="12" t="s">
        <v>152</v>
      </c>
      <c r="R14" s="13"/>
      <c r="S14" s="37" t="str">
        <f>"452,5"</f>
        <v>452,5</v>
      </c>
      <c r="T14" s="13" t="str">
        <f>"505,8045"</f>
        <v>505,8045</v>
      </c>
      <c r="U14" s="11" t="s">
        <v>1587</v>
      </c>
    </row>
    <row r="15" spans="1:21">
      <c r="A15" s="20" t="s">
        <v>62</v>
      </c>
      <c r="B15" s="18" t="s">
        <v>1588</v>
      </c>
      <c r="C15" s="18" t="s">
        <v>1589</v>
      </c>
      <c r="D15" s="18" t="s">
        <v>231</v>
      </c>
      <c r="E15" s="18" t="str">
        <f>"1,1371"</f>
        <v>1,1371</v>
      </c>
      <c r="F15" s="18" t="s">
        <v>1590</v>
      </c>
      <c r="G15" s="19" t="s">
        <v>33</v>
      </c>
      <c r="H15" s="22" t="s">
        <v>104</v>
      </c>
      <c r="I15" s="22" t="s">
        <v>81</v>
      </c>
      <c r="J15" s="20"/>
      <c r="K15" s="19" t="s">
        <v>83</v>
      </c>
      <c r="L15" s="19" t="s">
        <v>103</v>
      </c>
      <c r="M15" s="22" t="s">
        <v>34</v>
      </c>
      <c r="N15" s="20"/>
      <c r="O15" s="19" t="s">
        <v>67</v>
      </c>
      <c r="P15" s="22" t="s">
        <v>68</v>
      </c>
      <c r="Q15" s="22" t="s">
        <v>68</v>
      </c>
      <c r="R15" s="20"/>
      <c r="S15" s="38" t="str">
        <f>"205,0"</f>
        <v>205,0</v>
      </c>
      <c r="T15" s="20" t="str">
        <f>"233,1055"</f>
        <v>233,1055</v>
      </c>
      <c r="U15" s="18" t="s">
        <v>1591</v>
      </c>
    </row>
    <row r="16" spans="1:21">
      <c r="B16" s="5" t="s">
        <v>40</v>
      </c>
    </row>
    <row r="17" spans="1:21" ht="15.95">
      <c r="A17" s="102" t="s">
        <v>241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1:21">
      <c r="A18" s="13" t="s">
        <v>15</v>
      </c>
      <c r="B18" s="11" t="s">
        <v>1592</v>
      </c>
      <c r="C18" s="11" t="s">
        <v>1593</v>
      </c>
      <c r="D18" s="11" t="s">
        <v>252</v>
      </c>
      <c r="E18" s="11" t="str">
        <f>"1,0432"</f>
        <v>1,0432</v>
      </c>
      <c r="F18" s="11" t="s">
        <v>91</v>
      </c>
      <c r="G18" s="21" t="s">
        <v>58</v>
      </c>
      <c r="H18" s="12" t="s">
        <v>58</v>
      </c>
      <c r="I18" s="21" t="s">
        <v>205</v>
      </c>
      <c r="J18" s="13"/>
      <c r="K18" s="12" t="s">
        <v>38</v>
      </c>
      <c r="L18" s="12" t="s">
        <v>69</v>
      </c>
      <c r="M18" s="21" t="s">
        <v>56</v>
      </c>
      <c r="N18" s="13"/>
      <c r="O18" s="12" t="s">
        <v>71</v>
      </c>
      <c r="P18" s="12" t="s">
        <v>59</v>
      </c>
      <c r="Q18" s="12" t="s">
        <v>342</v>
      </c>
      <c r="R18" s="13"/>
      <c r="S18" s="37" t="str">
        <f>"402,5"</f>
        <v>402,5</v>
      </c>
      <c r="T18" s="13" t="str">
        <f>"421,9874"</f>
        <v>421,9874</v>
      </c>
      <c r="U18" s="11" t="s">
        <v>1594</v>
      </c>
    </row>
    <row r="19" spans="1:21">
      <c r="A19" s="20" t="s">
        <v>62</v>
      </c>
      <c r="B19" s="18" t="s">
        <v>1595</v>
      </c>
      <c r="C19" s="18" t="s">
        <v>1596</v>
      </c>
      <c r="D19" s="18" t="s">
        <v>363</v>
      </c>
      <c r="E19" s="18" t="str">
        <f>"1,0515"</f>
        <v>1,0515</v>
      </c>
      <c r="F19" s="18" t="s">
        <v>1597</v>
      </c>
      <c r="G19" s="22" t="s">
        <v>70</v>
      </c>
      <c r="H19" s="19" t="s">
        <v>85</v>
      </c>
      <c r="I19" s="19" t="s">
        <v>147</v>
      </c>
      <c r="J19" s="20"/>
      <c r="K19" s="19" t="s">
        <v>103</v>
      </c>
      <c r="L19" s="22" t="s">
        <v>35</v>
      </c>
      <c r="M19" s="22" t="s">
        <v>35</v>
      </c>
      <c r="N19" s="20"/>
      <c r="O19" s="19" t="s">
        <v>49</v>
      </c>
      <c r="P19" s="22" t="s">
        <v>56</v>
      </c>
      <c r="Q19" s="19" t="s">
        <v>84</v>
      </c>
      <c r="R19" s="20"/>
      <c r="S19" s="38" t="str">
        <f>"305,0"</f>
        <v>305,0</v>
      </c>
      <c r="T19" s="20" t="str">
        <f>"339,9499"</f>
        <v>339,9499</v>
      </c>
      <c r="U19" s="18" t="s">
        <v>1598</v>
      </c>
    </row>
    <row r="20" spans="1:21">
      <c r="B20" s="5" t="s">
        <v>40</v>
      </c>
    </row>
    <row r="21" spans="1:21" ht="15.95">
      <c r="A21" s="102" t="s">
        <v>301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</row>
    <row r="22" spans="1:21">
      <c r="A22" s="13" t="s">
        <v>15</v>
      </c>
      <c r="B22" s="11" t="s">
        <v>1599</v>
      </c>
      <c r="C22" s="11" t="s">
        <v>1600</v>
      </c>
      <c r="D22" s="11" t="s">
        <v>1421</v>
      </c>
      <c r="E22" s="11" t="str">
        <f>"0,9571"</f>
        <v>0,9571</v>
      </c>
      <c r="F22" s="11" t="s">
        <v>1105</v>
      </c>
      <c r="G22" s="12" t="s">
        <v>151</v>
      </c>
      <c r="H22" s="12" t="s">
        <v>347</v>
      </c>
      <c r="I22" s="12" t="s">
        <v>550</v>
      </c>
      <c r="J22" s="13"/>
      <c r="K22" s="12" t="s">
        <v>81</v>
      </c>
      <c r="L22" s="21" t="s">
        <v>67</v>
      </c>
      <c r="M22" s="21" t="s">
        <v>67</v>
      </c>
      <c r="N22" s="13"/>
      <c r="O22" s="12" t="s">
        <v>152</v>
      </c>
      <c r="P22" s="12" t="s">
        <v>351</v>
      </c>
      <c r="Q22" s="12" t="s">
        <v>368</v>
      </c>
      <c r="R22" s="13"/>
      <c r="S22" s="37" t="str">
        <f>"437,5"</f>
        <v>437,5</v>
      </c>
      <c r="T22" s="13" t="str">
        <f>"418,7312"</f>
        <v>418,7312</v>
      </c>
      <c r="U22" s="11" t="s">
        <v>1601</v>
      </c>
    </row>
    <row r="23" spans="1:21">
      <c r="A23" s="17" t="s">
        <v>62</v>
      </c>
      <c r="B23" s="14" t="s">
        <v>1602</v>
      </c>
      <c r="C23" s="14" t="s">
        <v>1603</v>
      </c>
      <c r="D23" s="14" t="s">
        <v>416</v>
      </c>
      <c r="E23" s="14" t="str">
        <f>"0,9655"</f>
        <v>0,9655</v>
      </c>
      <c r="F23" s="14" t="s">
        <v>728</v>
      </c>
      <c r="G23" s="15" t="s">
        <v>60</v>
      </c>
      <c r="H23" s="15" t="s">
        <v>151</v>
      </c>
      <c r="I23" s="15" t="s">
        <v>347</v>
      </c>
      <c r="J23" s="17"/>
      <c r="K23" s="15" t="s">
        <v>120</v>
      </c>
      <c r="L23" s="15" t="s">
        <v>68</v>
      </c>
      <c r="M23" s="15" t="s">
        <v>110</v>
      </c>
      <c r="N23" s="17"/>
      <c r="O23" s="15" t="s">
        <v>60</v>
      </c>
      <c r="P23" s="15" t="s">
        <v>151</v>
      </c>
      <c r="Q23" s="15" t="s">
        <v>248</v>
      </c>
      <c r="R23" s="17"/>
      <c r="S23" s="40" t="str">
        <f>"435,0"</f>
        <v>435,0</v>
      </c>
      <c r="T23" s="17" t="str">
        <f>"419,9925"</f>
        <v>419,9925</v>
      </c>
      <c r="U23" s="14" t="s">
        <v>1604</v>
      </c>
    </row>
    <row r="24" spans="1:21">
      <c r="A24" s="17" t="s">
        <v>73</v>
      </c>
      <c r="B24" s="14" t="s">
        <v>1605</v>
      </c>
      <c r="C24" s="14" t="s">
        <v>1606</v>
      </c>
      <c r="D24" s="14" t="s">
        <v>1607</v>
      </c>
      <c r="E24" s="14" t="str">
        <f>"0,9613"</f>
        <v>0,9613</v>
      </c>
      <c r="F24" s="14" t="s">
        <v>91</v>
      </c>
      <c r="G24" s="15" t="s">
        <v>58</v>
      </c>
      <c r="H24" s="15" t="s">
        <v>60</v>
      </c>
      <c r="I24" s="15" t="s">
        <v>151</v>
      </c>
      <c r="J24" s="17"/>
      <c r="K24" s="15" t="s">
        <v>26</v>
      </c>
      <c r="L24" s="15" t="s">
        <v>57</v>
      </c>
      <c r="M24" s="15" t="s">
        <v>33</v>
      </c>
      <c r="N24" s="17"/>
      <c r="O24" s="15" t="s">
        <v>205</v>
      </c>
      <c r="P24" s="15" t="s">
        <v>248</v>
      </c>
      <c r="Q24" s="15" t="s">
        <v>398</v>
      </c>
      <c r="R24" s="17"/>
      <c r="S24" s="40" t="str">
        <f>"410,0"</f>
        <v>410,0</v>
      </c>
      <c r="T24" s="17" t="str">
        <f>"394,1330"</f>
        <v>394,1330</v>
      </c>
      <c r="U24" s="14" t="s">
        <v>158</v>
      </c>
    </row>
    <row r="25" spans="1:21">
      <c r="A25" s="20" t="s">
        <v>15</v>
      </c>
      <c r="B25" s="18" t="s">
        <v>1608</v>
      </c>
      <c r="C25" s="18" t="s">
        <v>1609</v>
      </c>
      <c r="D25" s="18" t="s">
        <v>416</v>
      </c>
      <c r="E25" s="18" t="str">
        <f>"0,9655"</f>
        <v>0,9655</v>
      </c>
      <c r="F25" s="18" t="s">
        <v>1597</v>
      </c>
      <c r="G25" s="22" t="s">
        <v>58</v>
      </c>
      <c r="H25" s="19" t="s">
        <v>58</v>
      </c>
      <c r="I25" s="22" t="s">
        <v>427</v>
      </c>
      <c r="J25" s="20"/>
      <c r="K25" s="19" t="s">
        <v>48</v>
      </c>
      <c r="L25" s="22" t="s">
        <v>140</v>
      </c>
      <c r="M25" s="19" t="s">
        <v>104</v>
      </c>
      <c r="N25" s="20"/>
      <c r="O25" s="22" t="s">
        <v>71</v>
      </c>
      <c r="P25" s="19" t="s">
        <v>147</v>
      </c>
      <c r="Q25" s="19" t="s">
        <v>59</v>
      </c>
      <c r="R25" s="20"/>
      <c r="S25" s="38" t="str">
        <f>"362,5"</f>
        <v>362,5</v>
      </c>
      <c r="T25" s="20" t="str">
        <f>"402,4928"</f>
        <v>402,4928</v>
      </c>
      <c r="U25" s="18" t="s">
        <v>1598</v>
      </c>
    </row>
    <row r="26" spans="1:21">
      <c r="B26" s="5" t="s">
        <v>40</v>
      </c>
    </row>
    <row r="27" spans="1:21" ht="15.95">
      <c r="A27" s="102" t="s">
        <v>334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</row>
    <row r="28" spans="1:21">
      <c r="A28" s="13" t="s">
        <v>15</v>
      </c>
      <c r="B28" s="11" t="s">
        <v>1610</v>
      </c>
      <c r="C28" s="11" t="s">
        <v>1611</v>
      </c>
      <c r="D28" s="11" t="s">
        <v>502</v>
      </c>
      <c r="E28" s="11" t="str">
        <f>"0,9076"</f>
        <v>0,9076</v>
      </c>
      <c r="F28" s="11" t="s">
        <v>809</v>
      </c>
      <c r="G28" s="12" t="s">
        <v>368</v>
      </c>
      <c r="H28" s="12" t="s">
        <v>383</v>
      </c>
      <c r="I28" s="12" t="s">
        <v>399</v>
      </c>
      <c r="J28" s="13"/>
      <c r="K28" s="12" t="s">
        <v>70</v>
      </c>
      <c r="L28" s="12" t="s">
        <v>145</v>
      </c>
      <c r="M28" s="12" t="s">
        <v>85</v>
      </c>
      <c r="N28" s="13"/>
      <c r="O28" s="21" t="s">
        <v>374</v>
      </c>
      <c r="P28" s="21" t="s">
        <v>374</v>
      </c>
      <c r="Q28" s="12" t="s">
        <v>374</v>
      </c>
      <c r="R28" s="13"/>
      <c r="S28" s="37" t="str">
        <f>"532,5"</f>
        <v>532,5</v>
      </c>
      <c r="T28" s="13" t="str">
        <f>"483,2970"</f>
        <v>483,2970</v>
      </c>
      <c r="U28" s="11" t="s">
        <v>1601</v>
      </c>
    </row>
    <row r="29" spans="1:21">
      <c r="A29" s="17" t="s">
        <v>62</v>
      </c>
      <c r="B29" s="14" t="s">
        <v>1612</v>
      </c>
      <c r="C29" s="14" t="s">
        <v>1613</v>
      </c>
      <c r="D29" s="14" t="s">
        <v>516</v>
      </c>
      <c r="E29" s="14" t="str">
        <f>"0,9017"</f>
        <v>0,9017</v>
      </c>
      <c r="F29" s="14" t="s">
        <v>594</v>
      </c>
      <c r="G29" s="16" t="s">
        <v>383</v>
      </c>
      <c r="H29" s="16" t="s">
        <v>374</v>
      </c>
      <c r="I29" s="15" t="s">
        <v>374</v>
      </c>
      <c r="J29" s="17"/>
      <c r="K29" s="15" t="s">
        <v>37</v>
      </c>
      <c r="L29" s="15" t="s">
        <v>49</v>
      </c>
      <c r="M29" s="16" t="s">
        <v>47</v>
      </c>
      <c r="N29" s="17"/>
      <c r="O29" s="15" t="s">
        <v>248</v>
      </c>
      <c r="P29" s="16" t="s">
        <v>368</v>
      </c>
      <c r="Q29" s="15" t="s">
        <v>368</v>
      </c>
      <c r="R29" s="17"/>
      <c r="S29" s="40" t="str">
        <f>"490,0"</f>
        <v>490,0</v>
      </c>
      <c r="T29" s="17" t="str">
        <f>"441,8330"</f>
        <v>441,8330</v>
      </c>
      <c r="U29" s="14" t="s">
        <v>1371</v>
      </c>
    </row>
    <row r="30" spans="1:21">
      <c r="A30" s="17" t="s">
        <v>73</v>
      </c>
      <c r="B30" s="14" t="s">
        <v>1614</v>
      </c>
      <c r="C30" s="14" t="s">
        <v>1615</v>
      </c>
      <c r="D30" s="14" t="s">
        <v>481</v>
      </c>
      <c r="E30" s="14" t="str">
        <f>"0,9150"</f>
        <v>0,9150</v>
      </c>
      <c r="F30" s="14" t="s">
        <v>633</v>
      </c>
      <c r="G30" s="16" t="s">
        <v>368</v>
      </c>
      <c r="H30" s="15" t="s">
        <v>368</v>
      </c>
      <c r="I30" s="15" t="s">
        <v>743</v>
      </c>
      <c r="J30" s="17"/>
      <c r="K30" s="15" t="s">
        <v>69</v>
      </c>
      <c r="L30" s="16" t="s">
        <v>70</v>
      </c>
      <c r="M30" s="15" t="s">
        <v>70</v>
      </c>
      <c r="N30" s="16" t="s">
        <v>1616</v>
      </c>
      <c r="O30" s="15" t="s">
        <v>209</v>
      </c>
      <c r="P30" s="15" t="s">
        <v>346</v>
      </c>
      <c r="Q30" s="15" t="s">
        <v>204</v>
      </c>
      <c r="R30" s="17"/>
      <c r="S30" s="40" t="str">
        <f>"470,0"</f>
        <v>470,0</v>
      </c>
      <c r="T30" s="17" t="str">
        <f>"430,0500"</f>
        <v>430,0500</v>
      </c>
      <c r="U30" s="14" t="s">
        <v>1617</v>
      </c>
    </row>
    <row r="31" spans="1:21">
      <c r="A31" s="20" t="s">
        <v>15</v>
      </c>
      <c r="B31" s="18" t="s">
        <v>1618</v>
      </c>
      <c r="C31" s="18" t="s">
        <v>1619</v>
      </c>
      <c r="D31" s="18" t="s">
        <v>587</v>
      </c>
      <c r="E31" s="18" t="str">
        <f>"0,9088"</f>
        <v>0,9088</v>
      </c>
      <c r="F31" s="18" t="s">
        <v>1620</v>
      </c>
      <c r="G31" s="22" t="s">
        <v>60</v>
      </c>
      <c r="H31" s="19" t="s">
        <v>205</v>
      </c>
      <c r="I31" s="22" t="s">
        <v>254</v>
      </c>
      <c r="J31" s="20"/>
      <c r="K31" s="19" t="s">
        <v>140</v>
      </c>
      <c r="L31" s="19" t="s">
        <v>80</v>
      </c>
      <c r="M31" s="22" t="s">
        <v>104</v>
      </c>
      <c r="N31" s="20"/>
      <c r="O31" s="19" t="s">
        <v>151</v>
      </c>
      <c r="P31" s="19" t="s">
        <v>248</v>
      </c>
      <c r="Q31" s="22" t="s">
        <v>398</v>
      </c>
      <c r="R31" s="20"/>
      <c r="S31" s="38" t="str">
        <f>"400,0"</f>
        <v>400,0</v>
      </c>
      <c r="T31" s="20" t="str">
        <f>"363,5200"</f>
        <v>363,5200</v>
      </c>
      <c r="U31" s="18" t="s">
        <v>158</v>
      </c>
    </row>
    <row r="32" spans="1:21">
      <c r="B32" s="5" t="s">
        <v>40</v>
      </c>
    </row>
    <row r="33" spans="1:21" ht="15.95">
      <c r="A33" s="102" t="s">
        <v>195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</row>
    <row r="34" spans="1:21">
      <c r="A34" s="13" t="s">
        <v>15</v>
      </c>
      <c r="B34" s="11" t="s">
        <v>1621</v>
      </c>
      <c r="C34" s="11" t="s">
        <v>1622</v>
      </c>
      <c r="D34" s="11" t="s">
        <v>1623</v>
      </c>
      <c r="E34" s="11" t="str">
        <f>"0,8542"</f>
        <v>0,8542</v>
      </c>
      <c r="F34" s="11" t="s">
        <v>1624</v>
      </c>
      <c r="G34" s="21" t="s">
        <v>58</v>
      </c>
      <c r="H34" s="21" t="s">
        <v>58</v>
      </c>
      <c r="I34" s="12" t="s">
        <v>58</v>
      </c>
      <c r="J34" s="13"/>
      <c r="K34" s="21" t="s">
        <v>81</v>
      </c>
      <c r="L34" s="12" t="s">
        <v>81</v>
      </c>
      <c r="M34" s="21" t="s">
        <v>120</v>
      </c>
      <c r="N34" s="13"/>
      <c r="O34" s="12" t="s">
        <v>60</v>
      </c>
      <c r="P34" s="12" t="s">
        <v>254</v>
      </c>
      <c r="Q34" s="21" t="s">
        <v>1625</v>
      </c>
      <c r="R34" s="13"/>
      <c r="S34" s="37" t="str">
        <f>"377,5"</f>
        <v>377,5</v>
      </c>
      <c r="T34" s="13" t="str">
        <f>"322,4605"</f>
        <v>322,4605</v>
      </c>
      <c r="U34" s="11" t="s">
        <v>1626</v>
      </c>
    </row>
    <row r="35" spans="1:21">
      <c r="A35" s="20" t="s">
        <v>62</v>
      </c>
      <c r="B35" s="18" t="s">
        <v>1627</v>
      </c>
      <c r="C35" s="18" t="s">
        <v>1628</v>
      </c>
      <c r="D35" s="18" t="s">
        <v>960</v>
      </c>
      <c r="E35" s="18" t="str">
        <f>"0,8689"</f>
        <v>0,8689</v>
      </c>
      <c r="F35" s="18" t="s">
        <v>594</v>
      </c>
      <c r="G35" s="19" t="s">
        <v>21</v>
      </c>
      <c r="H35" s="19" t="s">
        <v>26</v>
      </c>
      <c r="I35" s="22" t="s">
        <v>80</v>
      </c>
      <c r="J35" s="20"/>
      <c r="K35" s="19" t="s">
        <v>20</v>
      </c>
      <c r="L35" s="22" t="s">
        <v>82</v>
      </c>
      <c r="M35" s="19" t="s">
        <v>103</v>
      </c>
      <c r="N35" s="20"/>
      <c r="O35" s="19" t="s">
        <v>103</v>
      </c>
      <c r="P35" s="19" t="s">
        <v>25</v>
      </c>
      <c r="Q35" s="19" t="s">
        <v>26</v>
      </c>
      <c r="R35" s="20"/>
      <c r="S35" s="38" t="str">
        <f>"170,0"</f>
        <v>170,0</v>
      </c>
      <c r="T35" s="20" t="str">
        <f>"147,7130"</f>
        <v>147,7130</v>
      </c>
      <c r="U35" s="18" t="s">
        <v>1629</v>
      </c>
    </row>
    <row r="36" spans="1:21">
      <c r="B36" s="5" t="s">
        <v>40</v>
      </c>
    </row>
    <row r="37" spans="1:21" ht="15.95">
      <c r="A37" s="102" t="s">
        <v>241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</row>
    <row r="38" spans="1:21">
      <c r="A38" s="10" t="s">
        <v>15</v>
      </c>
      <c r="B38" s="7" t="s">
        <v>1630</v>
      </c>
      <c r="C38" s="7" t="s">
        <v>1631</v>
      </c>
      <c r="D38" s="7" t="s">
        <v>367</v>
      </c>
      <c r="E38" s="7" t="str">
        <f>"0,7794"</f>
        <v>0,7794</v>
      </c>
      <c r="F38" s="7" t="s">
        <v>1632</v>
      </c>
      <c r="G38" s="8" t="s">
        <v>151</v>
      </c>
      <c r="H38" s="8" t="s">
        <v>550</v>
      </c>
      <c r="I38" s="9" t="s">
        <v>458</v>
      </c>
      <c r="J38" s="10"/>
      <c r="K38" s="8" t="s">
        <v>33</v>
      </c>
      <c r="L38" s="8" t="s">
        <v>80</v>
      </c>
      <c r="M38" s="8" t="s">
        <v>81</v>
      </c>
      <c r="N38" s="10"/>
      <c r="O38" s="8" t="s">
        <v>248</v>
      </c>
      <c r="P38" s="8" t="s">
        <v>398</v>
      </c>
      <c r="Q38" s="8" t="s">
        <v>392</v>
      </c>
      <c r="R38" s="10"/>
      <c r="S38" s="41" t="str">
        <f>"442,5"</f>
        <v>442,5</v>
      </c>
      <c r="T38" s="10" t="str">
        <f>"431,1056"</f>
        <v>431,1056</v>
      </c>
      <c r="U38" s="7" t="s">
        <v>158</v>
      </c>
    </row>
    <row r="39" spans="1:21">
      <c r="B39" s="5" t="s">
        <v>40</v>
      </c>
    </row>
    <row r="40" spans="1:21" ht="15.95">
      <c r="A40" s="102" t="s">
        <v>301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</row>
    <row r="41" spans="1:21">
      <c r="A41" s="13" t="s">
        <v>15</v>
      </c>
      <c r="B41" s="11" t="s">
        <v>1633</v>
      </c>
      <c r="C41" s="11" t="s">
        <v>1634</v>
      </c>
      <c r="D41" s="11" t="s">
        <v>1013</v>
      </c>
      <c r="E41" s="11" t="str">
        <f>"0,7307"</f>
        <v>0,7307</v>
      </c>
      <c r="F41" s="11" t="s">
        <v>728</v>
      </c>
      <c r="G41" s="21" t="s">
        <v>383</v>
      </c>
      <c r="H41" s="12" t="s">
        <v>383</v>
      </c>
      <c r="I41" s="12" t="s">
        <v>399</v>
      </c>
      <c r="J41" s="13"/>
      <c r="K41" s="21" t="s">
        <v>84</v>
      </c>
      <c r="L41" s="12" t="s">
        <v>84</v>
      </c>
      <c r="M41" s="13"/>
      <c r="N41" s="13"/>
      <c r="O41" s="12" t="s">
        <v>398</v>
      </c>
      <c r="P41" s="21" t="s">
        <v>374</v>
      </c>
      <c r="Q41" s="13"/>
      <c r="R41" s="13"/>
      <c r="S41" s="37" t="str">
        <f>"502,5"</f>
        <v>502,5</v>
      </c>
      <c r="T41" s="13" t="str">
        <f>"367,1768"</f>
        <v>367,1768</v>
      </c>
      <c r="U41" s="11" t="s">
        <v>1635</v>
      </c>
    </row>
    <row r="42" spans="1:21">
      <c r="A42" s="17" t="s">
        <v>92</v>
      </c>
      <c r="B42" s="14" t="s">
        <v>1636</v>
      </c>
      <c r="C42" s="14" t="s">
        <v>1637</v>
      </c>
      <c r="D42" s="14" t="s">
        <v>396</v>
      </c>
      <c r="E42" s="14" t="str">
        <f>"0,7256"</f>
        <v>0,7256</v>
      </c>
      <c r="F42" s="14" t="s">
        <v>119</v>
      </c>
      <c r="G42" s="16" t="s">
        <v>420</v>
      </c>
      <c r="H42" s="16" t="s">
        <v>420</v>
      </c>
      <c r="I42" s="16" t="s">
        <v>421</v>
      </c>
      <c r="J42" s="17"/>
      <c r="K42" s="16"/>
      <c r="L42" s="17"/>
      <c r="M42" s="17"/>
      <c r="N42" s="17"/>
      <c r="O42" s="17"/>
      <c r="P42" s="17"/>
      <c r="Q42" s="17"/>
      <c r="R42" s="17"/>
      <c r="S42" s="40" t="str">
        <f>"0.00"</f>
        <v>0.00</v>
      </c>
      <c r="T42" s="17" t="str">
        <f>"0,0000"</f>
        <v>0,0000</v>
      </c>
      <c r="U42" s="14" t="s">
        <v>1171</v>
      </c>
    </row>
    <row r="43" spans="1:21">
      <c r="A43" s="17" t="s">
        <v>15</v>
      </c>
      <c r="B43" s="14" t="s">
        <v>1419</v>
      </c>
      <c r="C43" s="14" t="s">
        <v>1420</v>
      </c>
      <c r="D43" s="14" t="s">
        <v>1421</v>
      </c>
      <c r="E43" s="14" t="str">
        <f>"0,7179"</f>
        <v>0,7179</v>
      </c>
      <c r="F43" s="14" t="s">
        <v>618</v>
      </c>
      <c r="G43" s="15" t="s">
        <v>523</v>
      </c>
      <c r="H43" s="16" t="s">
        <v>754</v>
      </c>
      <c r="I43" s="15" t="s">
        <v>754</v>
      </c>
      <c r="J43" s="17"/>
      <c r="K43" s="15" t="s">
        <v>59</v>
      </c>
      <c r="L43" s="15" t="s">
        <v>60</v>
      </c>
      <c r="M43" s="15" t="s">
        <v>205</v>
      </c>
      <c r="N43" s="17"/>
      <c r="O43" s="15" t="s">
        <v>523</v>
      </c>
      <c r="P43" s="15" t="s">
        <v>754</v>
      </c>
      <c r="Q43" s="15" t="s">
        <v>803</v>
      </c>
      <c r="R43" s="16" t="s">
        <v>1422</v>
      </c>
      <c r="S43" s="40" t="str">
        <f>"712,5"</f>
        <v>712,5</v>
      </c>
      <c r="T43" s="17" t="str">
        <f>"511,5037"</f>
        <v>511,5037</v>
      </c>
      <c r="U43" s="14" t="s">
        <v>619</v>
      </c>
    </row>
    <row r="44" spans="1:21">
      <c r="A44" s="17" t="s">
        <v>62</v>
      </c>
      <c r="B44" s="14" t="s">
        <v>1638</v>
      </c>
      <c r="C44" s="14" t="s">
        <v>1639</v>
      </c>
      <c r="D44" s="14" t="s">
        <v>1421</v>
      </c>
      <c r="E44" s="14" t="str">
        <f>"0,7179"</f>
        <v>0,7179</v>
      </c>
      <c r="F44" s="14" t="s">
        <v>594</v>
      </c>
      <c r="G44" s="16" t="s">
        <v>490</v>
      </c>
      <c r="H44" s="16" t="s">
        <v>523</v>
      </c>
      <c r="I44" s="15" t="s">
        <v>523</v>
      </c>
      <c r="J44" s="17"/>
      <c r="K44" s="15" t="s">
        <v>151</v>
      </c>
      <c r="L44" s="16" t="s">
        <v>248</v>
      </c>
      <c r="M44" s="16" t="s">
        <v>248</v>
      </c>
      <c r="N44" s="17"/>
      <c r="O44" s="15" t="s">
        <v>627</v>
      </c>
      <c r="P44" s="15" t="s">
        <v>529</v>
      </c>
      <c r="Q44" s="16" t="s">
        <v>1042</v>
      </c>
      <c r="R44" s="17"/>
      <c r="S44" s="40" t="str">
        <f>"675,0"</f>
        <v>675,0</v>
      </c>
      <c r="T44" s="17" t="str">
        <f>"484,5825"</f>
        <v>484,5825</v>
      </c>
      <c r="U44" s="14" t="s">
        <v>1640</v>
      </c>
    </row>
    <row r="45" spans="1:21">
      <c r="A45" s="17" t="s">
        <v>73</v>
      </c>
      <c r="B45" s="14" t="s">
        <v>1641</v>
      </c>
      <c r="C45" s="14" t="s">
        <v>1642</v>
      </c>
      <c r="D45" s="14" t="s">
        <v>390</v>
      </c>
      <c r="E45" s="14" t="str">
        <f>"0,7200"</f>
        <v>0,7200</v>
      </c>
      <c r="F45" s="14" t="s">
        <v>1643</v>
      </c>
      <c r="G45" s="15" t="s">
        <v>421</v>
      </c>
      <c r="H45" s="15" t="s">
        <v>490</v>
      </c>
      <c r="I45" s="16" t="s">
        <v>640</v>
      </c>
      <c r="J45" s="17"/>
      <c r="K45" s="16" t="s">
        <v>58</v>
      </c>
      <c r="L45" s="15" t="s">
        <v>58</v>
      </c>
      <c r="M45" s="15" t="s">
        <v>60</v>
      </c>
      <c r="N45" s="17"/>
      <c r="O45" s="15" t="s">
        <v>490</v>
      </c>
      <c r="P45" s="16" t="s">
        <v>640</v>
      </c>
      <c r="Q45" s="16" t="s">
        <v>754</v>
      </c>
      <c r="R45" s="17"/>
      <c r="S45" s="40" t="str">
        <f>"650,0"</f>
        <v>650,0</v>
      </c>
      <c r="T45" s="17" t="str">
        <f>"468,0000"</f>
        <v>468,0000</v>
      </c>
      <c r="U45" s="14" t="s">
        <v>158</v>
      </c>
    </row>
    <row r="46" spans="1:21">
      <c r="A46" s="17" t="s">
        <v>75</v>
      </c>
      <c r="B46" s="14" t="s">
        <v>1644</v>
      </c>
      <c r="C46" s="14" t="s">
        <v>1645</v>
      </c>
      <c r="D46" s="14" t="s">
        <v>1013</v>
      </c>
      <c r="E46" s="14" t="str">
        <f>"0,7307"</f>
        <v>0,7307</v>
      </c>
      <c r="F46" s="14" t="s">
        <v>1646</v>
      </c>
      <c r="G46" s="16" t="s">
        <v>145</v>
      </c>
      <c r="H46" s="16" t="s">
        <v>145</v>
      </c>
      <c r="I46" s="15" t="s">
        <v>145</v>
      </c>
      <c r="J46" s="17"/>
      <c r="K46" s="15" t="s">
        <v>110</v>
      </c>
      <c r="L46" s="15" t="s">
        <v>46</v>
      </c>
      <c r="M46" s="15" t="s">
        <v>47</v>
      </c>
      <c r="N46" s="17"/>
      <c r="O46" s="15" t="s">
        <v>151</v>
      </c>
      <c r="P46" s="15" t="s">
        <v>351</v>
      </c>
      <c r="Q46" s="15" t="s">
        <v>392</v>
      </c>
      <c r="R46" s="17"/>
      <c r="S46" s="40" t="str">
        <f>"422,5"</f>
        <v>422,5</v>
      </c>
      <c r="T46" s="17" t="str">
        <f>"308,7208"</f>
        <v>308,7208</v>
      </c>
      <c r="U46" s="14" t="s">
        <v>1388</v>
      </c>
    </row>
    <row r="47" spans="1:21">
      <c r="A47" s="17" t="s">
        <v>92</v>
      </c>
      <c r="B47" s="14" t="s">
        <v>1647</v>
      </c>
      <c r="C47" s="14" t="s">
        <v>1648</v>
      </c>
      <c r="D47" s="14" t="s">
        <v>390</v>
      </c>
      <c r="E47" s="14" t="str">
        <f>"0,7200"</f>
        <v>0,7200</v>
      </c>
      <c r="F47" s="14" t="s">
        <v>1105</v>
      </c>
      <c r="G47" s="16" t="s">
        <v>422</v>
      </c>
      <c r="H47" s="16" t="s">
        <v>422</v>
      </c>
      <c r="I47" s="16" t="s">
        <v>422</v>
      </c>
      <c r="J47" s="17"/>
      <c r="K47" s="16"/>
      <c r="L47" s="17"/>
      <c r="M47" s="17"/>
      <c r="N47" s="17"/>
      <c r="O47" s="16"/>
      <c r="P47" s="17"/>
      <c r="Q47" s="17"/>
      <c r="R47" s="17"/>
      <c r="S47" s="40">
        <v>0</v>
      </c>
      <c r="T47" s="17" t="str">
        <f>"0,0000"</f>
        <v>0,0000</v>
      </c>
      <c r="U47" s="14" t="s">
        <v>158</v>
      </c>
    </row>
    <row r="48" spans="1:21">
      <c r="A48" s="17" t="s">
        <v>92</v>
      </c>
      <c r="B48" s="14" t="s">
        <v>1649</v>
      </c>
      <c r="C48" s="14" t="s">
        <v>1650</v>
      </c>
      <c r="D48" s="14" t="s">
        <v>1403</v>
      </c>
      <c r="E48" s="14" t="str">
        <f>"0,7193"</f>
        <v>0,7193</v>
      </c>
      <c r="F48" s="14" t="s">
        <v>1651</v>
      </c>
      <c r="G48" s="16" t="s">
        <v>421</v>
      </c>
      <c r="H48" s="16" t="s">
        <v>459</v>
      </c>
      <c r="I48" s="16" t="s">
        <v>422</v>
      </c>
      <c r="J48" s="17"/>
      <c r="K48" s="17"/>
      <c r="L48" s="17"/>
      <c r="M48" s="17"/>
      <c r="N48" s="17"/>
      <c r="O48" s="16"/>
      <c r="P48" s="17"/>
      <c r="Q48" s="17"/>
      <c r="R48" s="17"/>
      <c r="S48" s="40">
        <v>0</v>
      </c>
      <c r="T48" s="17" t="str">
        <f>"0,0000"</f>
        <v>0,0000</v>
      </c>
      <c r="U48" s="14" t="s">
        <v>1652</v>
      </c>
    </row>
    <row r="49" spans="1:21">
      <c r="A49" s="17" t="s">
        <v>92</v>
      </c>
      <c r="B49" s="14" t="s">
        <v>1653</v>
      </c>
      <c r="C49" s="14" t="s">
        <v>1654</v>
      </c>
      <c r="D49" s="14" t="s">
        <v>331</v>
      </c>
      <c r="E49" s="14" t="str">
        <f>"0,7126"</f>
        <v>0,7126</v>
      </c>
      <c r="F49" s="14" t="s">
        <v>176</v>
      </c>
      <c r="G49" s="16" t="s">
        <v>459</v>
      </c>
      <c r="H49" s="16" t="s">
        <v>459</v>
      </c>
      <c r="I49" s="16" t="s">
        <v>459</v>
      </c>
      <c r="J49" s="17"/>
      <c r="K49" s="16"/>
      <c r="L49" s="17"/>
      <c r="M49" s="17"/>
      <c r="N49" s="17"/>
      <c r="O49" s="16"/>
      <c r="P49" s="17"/>
      <c r="Q49" s="17"/>
      <c r="R49" s="17"/>
      <c r="S49" s="40">
        <v>0</v>
      </c>
      <c r="T49" s="17" t="str">
        <f>"0,0000"</f>
        <v>0,0000</v>
      </c>
      <c r="U49" s="14" t="s">
        <v>1655</v>
      </c>
    </row>
    <row r="50" spans="1:21">
      <c r="A50" s="17" t="s">
        <v>92</v>
      </c>
      <c r="B50" s="14" t="s">
        <v>1656</v>
      </c>
      <c r="C50" s="14" t="s">
        <v>1657</v>
      </c>
      <c r="D50" s="14" t="s">
        <v>331</v>
      </c>
      <c r="E50" s="14" t="str">
        <f>"0,7126"</f>
        <v>0,7126</v>
      </c>
      <c r="F50" s="14" t="s">
        <v>1658</v>
      </c>
      <c r="G50" s="16" t="s">
        <v>822</v>
      </c>
      <c r="H50" s="16" t="s">
        <v>824</v>
      </c>
      <c r="I50" s="16" t="s">
        <v>824</v>
      </c>
      <c r="J50" s="17"/>
      <c r="K50" s="16"/>
      <c r="L50" s="17"/>
      <c r="M50" s="17"/>
      <c r="N50" s="17"/>
      <c r="O50" s="16"/>
      <c r="P50" s="17"/>
      <c r="Q50" s="17"/>
      <c r="R50" s="17"/>
      <c r="S50" s="40">
        <v>0</v>
      </c>
      <c r="T50" s="17" t="str">
        <f>"0,0000"</f>
        <v>0,0000</v>
      </c>
      <c r="U50" s="14" t="s">
        <v>158</v>
      </c>
    </row>
    <row r="51" spans="1:21">
      <c r="A51" s="20" t="s">
        <v>15</v>
      </c>
      <c r="B51" s="18" t="s">
        <v>1659</v>
      </c>
      <c r="C51" s="18" t="s">
        <v>1660</v>
      </c>
      <c r="D51" s="18" t="s">
        <v>1661</v>
      </c>
      <c r="E51" s="18" t="str">
        <f>"0,7228"</f>
        <v>0,7228</v>
      </c>
      <c r="F51" s="18" t="s">
        <v>1662</v>
      </c>
      <c r="G51" s="19" t="s">
        <v>151</v>
      </c>
      <c r="H51" s="19" t="s">
        <v>398</v>
      </c>
      <c r="I51" s="22" t="s">
        <v>374</v>
      </c>
      <c r="J51" s="20"/>
      <c r="K51" s="19" t="s">
        <v>36</v>
      </c>
      <c r="L51" s="19" t="s">
        <v>47</v>
      </c>
      <c r="M51" s="19" t="s">
        <v>56</v>
      </c>
      <c r="N51" s="20"/>
      <c r="O51" s="19" t="s">
        <v>248</v>
      </c>
      <c r="P51" s="19" t="s">
        <v>374</v>
      </c>
      <c r="Q51" s="19" t="s">
        <v>384</v>
      </c>
      <c r="R51" s="20"/>
      <c r="S51" s="38" t="str">
        <f>"505,0"</f>
        <v>505,0</v>
      </c>
      <c r="T51" s="20" t="str">
        <f>"370,1242"</f>
        <v>370,1242</v>
      </c>
      <c r="U51" s="18" t="s">
        <v>1663</v>
      </c>
    </row>
    <row r="52" spans="1:21">
      <c r="B52" s="5" t="s">
        <v>40</v>
      </c>
    </row>
    <row r="53" spans="1:21" ht="15.95">
      <c r="A53" s="102" t="s">
        <v>334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</row>
    <row r="54" spans="1:21">
      <c r="A54" s="13" t="s">
        <v>15</v>
      </c>
      <c r="B54" s="11" t="s">
        <v>1664</v>
      </c>
      <c r="C54" s="11" t="s">
        <v>1665</v>
      </c>
      <c r="D54" s="11" t="s">
        <v>1666</v>
      </c>
      <c r="E54" s="11" t="str">
        <f>"0,6899"</f>
        <v>0,6899</v>
      </c>
      <c r="F54" s="11" t="s">
        <v>1667</v>
      </c>
      <c r="G54" s="12" t="s">
        <v>420</v>
      </c>
      <c r="H54" s="21" t="s">
        <v>422</v>
      </c>
      <c r="I54" s="21" t="s">
        <v>422</v>
      </c>
      <c r="J54" s="13"/>
      <c r="K54" s="12" t="s">
        <v>60</v>
      </c>
      <c r="L54" s="21" t="s">
        <v>151</v>
      </c>
      <c r="M54" s="12" t="s">
        <v>151</v>
      </c>
      <c r="N54" s="13"/>
      <c r="O54" s="12" t="s">
        <v>421</v>
      </c>
      <c r="P54" s="12" t="s">
        <v>627</v>
      </c>
      <c r="Q54" s="21" t="s">
        <v>490</v>
      </c>
      <c r="R54" s="13"/>
      <c r="S54" s="37" t="str">
        <f>"625,0"</f>
        <v>625,0</v>
      </c>
      <c r="T54" s="13" t="str">
        <f>"431,1875"</f>
        <v>431,1875</v>
      </c>
      <c r="U54" s="11" t="s">
        <v>158</v>
      </c>
    </row>
    <row r="55" spans="1:21">
      <c r="A55" s="17" t="s">
        <v>15</v>
      </c>
      <c r="B55" s="14" t="s">
        <v>1668</v>
      </c>
      <c r="C55" s="14" t="s">
        <v>1669</v>
      </c>
      <c r="D55" s="14" t="s">
        <v>539</v>
      </c>
      <c r="E55" s="14" t="str">
        <f>"0,6729"</f>
        <v>0,6729</v>
      </c>
      <c r="F55" s="14" t="s">
        <v>633</v>
      </c>
      <c r="G55" s="15" t="s">
        <v>491</v>
      </c>
      <c r="H55" s="15" t="s">
        <v>738</v>
      </c>
      <c r="I55" s="15" t="s">
        <v>745</v>
      </c>
      <c r="J55" s="17"/>
      <c r="K55" s="15" t="s">
        <v>248</v>
      </c>
      <c r="L55" s="15" t="s">
        <v>398</v>
      </c>
      <c r="M55" s="16" t="s">
        <v>368</v>
      </c>
      <c r="N55" s="17"/>
      <c r="O55" s="15" t="s">
        <v>523</v>
      </c>
      <c r="P55" s="15" t="s">
        <v>738</v>
      </c>
      <c r="Q55" s="16" t="s">
        <v>804</v>
      </c>
      <c r="R55" s="17"/>
      <c r="S55" s="40" t="str">
        <f>"745,0"</f>
        <v>745,0</v>
      </c>
      <c r="T55" s="17" t="str">
        <f>"501,3105"</f>
        <v>501,3105</v>
      </c>
      <c r="U55" s="14" t="s">
        <v>1670</v>
      </c>
    </row>
    <row r="56" spans="1:21">
      <c r="A56" s="17" t="s">
        <v>62</v>
      </c>
      <c r="B56" s="14" t="s">
        <v>1671</v>
      </c>
      <c r="C56" s="14" t="s">
        <v>1672</v>
      </c>
      <c r="D56" s="14" t="s">
        <v>1666</v>
      </c>
      <c r="E56" s="14" t="str">
        <f>"0,6899"</f>
        <v>0,6899</v>
      </c>
      <c r="F56" s="14" t="s">
        <v>1387</v>
      </c>
      <c r="G56" s="16" t="s">
        <v>490</v>
      </c>
      <c r="H56" s="16" t="s">
        <v>490</v>
      </c>
      <c r="I56" s="15" t="s">
        <v>490</v>
      </c>
      <c r="J56" s="17"/>
      <c r="K56" s="15" t="s">
        <v>151</v>
      </c>
      <c r="L56" s="15" t="s">
        <v>248</v>
      </c>
      <c r="M56" s="16" t="s">
        <v>351</v>
      </c>
      <c r="N56" s="17"/>
      <c r="O56" s="15" t="s">
        <v>490</v>
      </c>
      <c r="P56" s="15" t="s">
        <v>640</v>
      </c>
      <c r="Q56" s="16" t="s">
        <v>822</v>
      </c>
      <c r="R56" s="17"/>
      <c r="S56" s="40" t="str">
        <f>"690,0"</f>
        <v>690,0</v>
      </c>
      <c r="T56" s="17" t="str">
        <f>"476,0310"</f>
        <v>476,0310</v>
      </c>
      <c r="U56" s="14" t="s">
        <v>447</v>
      </c>
    </row>
    <row r="57" spans="1:21">
      <c r="A57" s="17" t="s">
        <v>73</v>
      </c>
      <c r="B57" s="14" t="s">
        <v>1673</v>
      </c>
      <c r="C57" s="14" t="s">
        <v>1674</v>
      </c>
      <c r="D57" s="14" t="s">
        <v>477</v>
      </c>
      <c r="E57" s="14" t="str">
        <f>"0,6785"</f>
        <v>0,6785</v>
      </c>
      <c r="F57" s="14" t="s">
        <v>594</v>
      </c>
      <c r="G57" s="15" t="s">
        <v>442</v>
      </c>
      <c r="H57" s="15" t="s">
        <v>459</v>
      </c>
      <c r="I57" s="16" t="s">
        <v>490</v>
      </c>
      <c r="J57" s="17"/>
      <c r="K57" s="15" t="s">
        <v>205</v>
      </c>
      <c r="L57" s="15" t="s">
        <v>152</v>
      </c>
      <c r="M57" s="15" t="s">
        <v>248</v>
      </c>
      <c r="N57" s="17"/>
      <c r="O57" s="15" t="s">
        <v>422</v>
      </c>
      <c r="P57" s="15" t="s">
        <v>490</v>
      </c>
      <c r="Q57" s="16" t="s">
        <v>1042</v>
      </c>
      <c r="R57" s="17"/>
      <c r="S57" s="40" t="str">
        <f>"655,0"</f>
        <v>655,0</v>
      </c>
      <c r="T57" s="17" t="str">
        <f>"444,4175"</f>
        <v>444,4175</v>
      </c>
      <c r="U57" s="14" t="s">
        <v>158</v>
      </c>
    </row>
    <row r="58" spans="1:21">
      <c r="A58" s="17" t="s">
        <v>75</v>
      </c>
      <c r="B58" s="14" t="s">
        <v>1675</v>
      </c>
      <c r="C58" s="14" t="s">
        <v>1676</v>
      </c>
      <c r="D58" s="14" t="s">
        <v>502</v>
      </c>
      <c r="E58" s="14" t="str">
        <f>"0,6764"</f>
        <v>0,6764</v>
      </c>
      <c r="F58" s="14" t="s">
        <v>1677</v>
      </c>
      <c r="G58" s="15" t="s">
        <v>421</v>
      </c>
      <c r="H58" s="16" t="s">
        <v>422</v>
      </c>
      <c r="I58" s="15" t="s">
        <v>422</v>
      </c>
      <c r="J58" s="17"/>
      <c r="K58" s="15" t="s">
        <v>157</v>
      </c>
      <c r="L58" s="15" t="s">
        <v>58</v>
      </c>
      <c r="M58" s="16" t="s">
        <v>346</v>
      </c>
      <c r="N58" s="17"/>
      <c r="O58" s="15" t="s">
        <v>422</v>
      </c>
      <c r="P58" s="15" t="s">
        <v>490</v>
      </c>
      <c r="Q58" s="16" t="s">
        <v>523</v>
      </c>
      <c r="R58" s="17"/>
      <c r="S58" s="40" t="str">
        <f>"630,0"</f>
        <v>630,0</v>
      </c>
      <c r="T58" s="17" t="str">
        <f>"426,1320"</f>
        <v>426,1320</v>
      </c>
      <c r="U58" s="14" t="s">
        <v>1678</v>
      </c>
    </row>
    <row r="59" spans="1:21">
      <c r="A59" s="17" t="s">
        <v>87</v>
      </c>
      <c r="B59" s="14" t="s">
        <v>1679</v>
      </c>
      <c r="C59" s="14" t="s">
        <v>1680</v>
      </c>
      <c r="D59" s="14" t="s">
        <v>1051</v>
      </c>
      <c r="E59" s="14" t="str">
        <f>"0,6806"</f>
        <v>0,6806</v>
      </c>
      <c r="F59" s="14" t="s">
        <v>633</v>
      </c>
      <c r="G59" s="16" t="s">
        <v>421</v>
      </c>
      <c r="H59" s="15" t="s">
        <v>421</v>
      </c>
      <c r="I59" s="16" t="s">
        <v>437</v>
      </c>
      <c r="J59" s="17"/>
      <c r="K59" s="15" t="s">
        <v>162</v>
      </c>
      <c r="L59" s="16" t="s">
        <v>85</v>
      </c>
      <c r="M59" s="16" t="s">
        <v>85</v>
      </c>
      <c r="N59" s="17"/>
      <c r="O59" s="16" t="s">
        <v>627</v>
      </c>
      <c r="P59" s="16" t="s">
        <v>627</v>
      </c>
      <c r="Q59" s="15" t="s">
        <v>627</v>
      </c>
      <c r="R59" s="17"/>
      <c r="S59" s="40" t="str">
        <f>"597,5"</f>
        <v>597,5</v>
      </c>
      <c r="T59" s="17" t="str">
        <f>"406,6585"</f>
        <v>406,6585</v>
      </c>
      <c r="U59" s="14" t="s">
        <v>158</v>
      </c>
    </row>
    <row r="60" spans="1:21">
      <c r="A60" s="17" t="s">
        <v>168</v>
      </c>
      <c r="B60" s="14" t="s">
        <v>1681</v>
      </c>
      <c r="C60" s="14" t="s">
        <v>1682</v>
      </c>
      <c r="D60" s="14" t="s">
        <v>527</v>
      </c>
      <c r="E60" s="14" t="str">
        <f>"0,6811"</f>
        <v>0,6811</v>
      </c>
      <c r="F60" s="14" t="s">
        <v>54</v>
      </c>
      <c r="G60" s="15" t="s">
        <v>248</v>
      </c>
      <c r="H60" s="15" t="s">
        <v>392</v>
      </c>
      <c r="I60" s="16" t="s">
        <v>374</v>
      </c>
      <c r="J60" s="17"/>
      <c r="K60" s="15" t="s">
        <v>56</v>
      </c>
      <c r="L60" s="16" t="s">
        <v>70</v>
      </c>
      <c r="M60" s="16" t="s">
        <v>70</v>
      </c>
      <c r="N60" s="17"/>
      <c r="O60" s="15" t="s">
        <v>399</v>
      </c>
      <c r="P60" s="15" t="s">
        <v>420</v>
      </c>
      <c r="Q60" s="16" t="s">
        <v>421</v>
      </c>
      <c r="R60" s="17"/>
      <c r="S60" s="40" t="str">
        <f>"525,0"</f>
        <v>525,0</v>
      </c>
      <c r="T60" s="17" t="str">
        <f>"357,5775"</f>
        <v>357,5775</v>
      </c>
      <c r="U60" s="14" t="s">
        <v>683</v>
      </c>
    </row>
    <row r="61" spans="1:21">
      <c r="A61" s="17" t="s">
        <v>92</v>
      </c>
      <c r="B61" s="14" t="s">
        <v>1683</v>
      </c>
      <c r="C61" s="14" t="s">
        <v>1684</v>
      </c>
      <c r="D61" s="14" t="s">
        <v>1685</v>
      </c>
      <c r="E61" s="14" t="str">
        <f>"0,6734"</f>
        <v>0,6734</v>
      </c>
      <c r="F61" s="14" t="s">
        <v>522</v>
      </c>
      <c r="G61" s="16" t="s">
        <v>804</v>
      </c>
      <c r="H61" s="16" t="s">
        <v>804</v>
      </c>
      <c r="I61" s="16" t="s">
        <v>804</v>
      </c>
      <c r="J61" s="17"/>
      <c r="K61" s="16"/>
      <c r="L61" s="17"/>
      <c r="M61" s="17"/>
      <c r="N61" s="17"/>
      <c r="O61" s="16"/>
      <c r="P61" s="17"/>
      <c r="Q61" s="17"/>
      <c r="R61" s="17"/>
      <c r="S61" s="40">
        <v>0</v>
      </c>
      <c r="T61" s="17" t="str">
        <f>"0,0000"</f>
        <v>0,0000</v>
      </c>
      <c r="U61" s="14" t="s">
        <v>1686</v>
      </c>
    </row>
    <row r="62" spans="1:21">
      <c r="A62" s="17" t="s">
        <v>15</v>
      </c>
      <c r="B62" s="14" t="s">
        <v>1687</v>
      </c>
      <c r="C62" s="14" t="s">
        <v>1688</v>
      </c>
      <c r="D62" s="14" t="s">
        <v>590</v>
      </c>
      <c r="E62" s="14" t="str">
        <f>"0,6724"</f>
        <v>0,6724</v>
      </c>
      <c r="F62" s="14" t="s">
        <v>594</v>
      </c>
      <c r="G62" s="15" t="s">
        <v>399</v>
      </c>
      <c r="H62" s="16" t="s">
        <v>436</v>
      </c>
      <c r="I62" s="16" t="s">
        <v>420</v>
      </c>
      <c r="J62" s="17"/>
      <c r="K62" s="15" t="s">
        <v>209</v>
      </c>
      <c r="L62" s="15" t="s">
        <v>58</v>
      </c>
      <c r="M62" s="15" t="s">
        <v>346</v>
      </c>
      <c r="N62" s="17"/>
      <c r="O62" s="15" t="s">
        <v>374</v>
      </c>
      <c r="P62" s="17"/>
      <c r="Q62" s="17"/>
      <c r="R62" s="17"/>
      <c r="S62" s="40" t="str">
        <f>"547,5"</f>
        <v>547,5</v>
      </c>
      <c r="T62" s="17" t="str">
        <f>"444,3438"</f>
        <v>444,3438</v>
      </c>
      <c r="U62" s="14" t="s">
        <v>158</v>
      </c>
    </row>
    <row r="63" spans="1:21">
      <c r="A63" s="20" t="s">
        <v>62</v>
      </c>
      <c r="B63" s="18" t="s">
        <v>1689</v>
      </c>
      <c r="C63" s="18" t="s">
        <v>1690</v>
      </c>
      <c r="D63" s="18" t="s">
        <v>587</v>
      </c>
      <c r="E63" s="18" t="str">
        <f>"0,6774"</f>
        <v>0,6774</v>
      </c>
      <c r="F63" s="18" t="s">
        <v>1651</v>
      </c>
      <c r="G63" s="19" t="s">
        <v>69</v>
      </c>
      <c r="H63" s="19" t="s">
        <v>145</v>
      </c>
      <c r="I63" s="19" t="s">
        <v>209</v>
      </c>
      <c r="J63" s="20"/>
      <c r="K63" s="22" t="s">
        <v>69</v>
      </c>
      <c r="L63" s="22" t="s">
        <v>69</v>
      </c>
      <c r="M63" s="19" t="s">
        <v>69</v>
      </c>
      <c r="N63" s="20"/>
      <c r="O63" s="22" t="s">
        <v>70</v>
      </c>
      <c r="P63" s="19" t="s">
        <v>70</v>
      </c>
      <c r="Q63" s="19" t="s">
        <v>58</v>
      </c>
      <c r="R63" s="20"/>
      <c r="S63" s="38" t="str">
        <f>"385,0"</f>
        <v>385,0</v>
      </c>
      <c r="T63" s="20" t="str">
        <f>"309,5684"</f>
        <v>309,5684</v>
      </c>
      <c r="U63" s="18" t="s">
        <v>1691</v>
      </c>
    </row>
    <row r="64" spans="1:21">
      <c r="B64" s="5" t="s">
        <v>40</v>
      </c>
    </row>
    <row r="65" spans="1:21" ht="15.95">
      <c r="A65" s="102" t="s">
        <v>598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</row>
    <row r="66" spans="1:21">
      <c r="A66" s="13" t="s">
        <v>15</v>
      </c>
      <c r="B66" s="11" t="s">
        <v>1692</v>
      </c>
      <c r="C66" s="11" t="s">
        <v>1693</v>
      </c>
      <c r="D66" s="11" t="s">
        <v>632</v>
      </c>
      <c r="E66" s="11" t="str">
        <f>"0,6428"</f>
        <v>0,6428</v>
      </c>
      <c r="F66" s="11" t="s">
        <v>1694</v>
      </c>
      <c r="G66" s="21" t="s">
        <v>804</v>
      </c>
      <c r="H66" s="12" t="s">
        <v>804</v>
      </c>
      <c r="I66" s="12" t="s">
        <v>1086</v>
      </c>
      <c r="J66" s="13"/>
      <c r="K66" s="12" t="s">
        <v>383</v>
      </c>
      <c r="L66" s="12" t="s">
        <v>743</v>
      </c>
      <c r="M66" s="21" t="s">
        <v>455</v>
      </c>
      <c r="N66" s="13"/>
      <c r="O66" s="12" t="s">
        <v>738</v>
      </c>
      <c r="P66" s="12" t="s">
        <v>822</v>
      </c>
      <c r="Q66" s="12" t="s">
        <v>1241</v>
      </c>
      <c r="R66" s="13"/>
      <c r="S66" s="37" t="str">
        <f>"820,0"</f>
        <v>820,0</v>
      </c>
      <c r="T66" s="13" t="str">
        <f>"527,0960"</f>
        <v>527,0960</v>
      </c>
      <c r="U66" s="11" t="s">
        <v>981</v>
      </c>
    </row>
    <row r="67" spans="1:21">
      <c r="A67" s="17" t="s">
        <v>62</v>
      </c>
      <c r="B67" s="14" t="s">
        <v>1695</v>
      </c>
      <c r="C67" s="14" t="s">
        <v>1696</v>
      </c>
      <c r="D67" s="14" t="s">
        <v>653</v>
      </c>
      <c r="E67" s="14" t="str">
        <f>"0,6475"</f>
        <v>0,6475</v>
      </c>
      <c r="F67" s="14" t="s">
        <v>1697</v>
      </c>
      <c r="G67" s="15" t="s">
        <v>490</v>
      </c>
      <c r="H67" s="16" t="s">
        <v>754</v>
      </c>
      <c r="I67" s="16" t="s">
        <v>754</v>
      </c>
      <c r="J67" s="17"/>
      <c r="K67" s="15" t="s">
        <v>59</v>
      </c>
      <c r="L67" s="15" t="s">
        <v>342</v>
      </c>
      <c r="M67" s="17"/>
      <c r="N67" s="17"/>
      <c r="O67" s="15" t="s">
        <v>804</v>
      </c>
      <c r="P67" s="16" t="s">
        <v>1043</v>
      </c>
      <c r="Q67" s="16" t="s">
        <v>1078</v>
      </c>
      <c r="R67" s="17"/>
      <c r="S67" s="40" t="str">
        <f>"702,5"</f>
        <v>702,5</v>
      </c>
      <c r="T67" s="17" t="str">
        <f>"454,8687"</f>
        <v>454,8687</v>
      </c>
      <c r="U67" s="14" t="s">
        <v>1698</v>
      </c>
    </row>
    <row r="68" spans="1:21">
      <c r="A68" s="17" t="s">
        <v>73</v>
      </c>
      <c r="B68" s="14" t="s">
        <v>1699</v>
      </c>
      <c r="C68" s="14" t="s">
        <v>1700</v>
      </c>
      <c r="D68" s="14" t="s">
        <v>1701</v>
      </c>
      <c r="E68" s="14" t="str">
        <f>"0,6444"</f>
        <v>0,6444</v>
      </c>
      <c r="F68" s="14" t="s">
        <v>1279</v>
      </c>
      <c r="G68" s="16" t="s">
        <v>436</v>
      </c>
      <c r="H68" s="16" t="s">
        <v>436</v>
      </c>
      <c r="I68" s="15" t="s">
        <v>420</v>
      </c>
      <c r="J68" s="17"/>
      <c r="K68" s="15" t="s">
        <v>452</v>
      </c>
      <c r="L68" s="16" t="s">
        <v>453</v>
      </c>
      <c r="M68" s="17"/>
      <c r="N68" s="17"/>
      <c r="O68" s="15" t="s">
        <v>442</v>
      </c>
      <c r="P68" s="15" t="s">
        <v>459</v>
      </c>
      <c r="Q68" s="16" t="s">
        <v>1175</v>
      </c>
      <c r="R68" s="17"/>
      <c r="S68" s="40" t="str">
        <f>"632,5"</f>
        <v>632,5</v>
      </c>
      <c r="T68" s="17" t="str">
        <f>"407,5830"</f>
        <v>407,5830</v>
      </c>
      <c r="U68" s="14" t="s">
        <v>551</v>
      </c>
    </row>
    <row r="69" spans="1:21">
      <c r="A69" s="17" t="s">
        <v>15</v>
      </c>
      <c r="B69" s="14" t="s">
        <v>1702</v>
      </c>
      <c r="C69" s="14" t="s">
        <v>1703</v>
      </c>
      <c r="D69" s="14" t="s">
        <v>1480</v>
      </c>
      <c r="E69" s="14" t="str">
        <f>"0,6413"</f>
        <v>0,6413</v>
      </c>
      <c r="F69" s="14" t="s">
        <v>91</v>
      </c>
      <c r="G69" s="15" t="s">
        <v>640</v>
      </c>
      <c r="H69" s="15" t="s">
        <v>746</v>
      </c>
      <c r="I69" s="15" t="s">
        <v>1030</v>
      </c>
      <c r="J69" s="17"/>
      <c r="K69" s="15" t="s">
        <v>368</v>
      </c>
      <c r="L69" s="15" t="s">
        <v>454</v>
      </c>
      <c r="M69" s="16" t="s">
        <v>506</v>
      </c>
      <c r="N69" s="17"/>
      <c r="O69" s="15" t="s">
        <v>1030</v>
      </c>
      <c r="P69" s="15" t="s">
        <v>1078</v>
      </c>
      <c r="Q69" s="15" t="s">
        <v>839</v>
      </c>
      <c r="R69" s="17"/>
      <c r="S69" s="40" t="str">
        <f>"822,5"</f>
        <v>822,5</v>
      </c>
      <c r="T69" s="17" t="str">
        <f>"527,4693"</f>
        <v>527,4693</v>
      </c>
      <c r="U69" s="14" t="s">
        <v>158</v>
      </c>
    </row>
    <row r="70" spans="1:21">
      <c r="A70" s="17" t="s">
        <v>62</v>
      </c>
      <c r="B70" s="14" t="s">
        <v>1692</v>
      </c>
      <c r="C70" s="14" t="s">
        <v>1704</v>
      </c>
      <c r="D70" s="14" t="s">
        <v>632</v>
      </c>
      <c r="E70" s="14" t="str">
        <f>"0,6428"</f>
        <v>0,6428</v>
      </c>
      <c r="F70" s="14" t="s">
        <v>1694</v>
      </c>
      <c r="G70" s="16" t="s">
        <v>804</v>
      </c>
      <c r="H70" s="15" t="s">
        <v>804</v>
      </c>
      <c r="I70" s="15" t="s">
        <v>1086</v>
      </c>
      <c r="J70" s="17"/>
      <c r="K70" s="15" t="s">
        <v>383</v>
      </c>
      <c r="L70" s="15" t="s">
        <v>743</v>
      </c>
      <c r="M70" s="16" t="s">
        <v>455</v>
      </c>
      <c r="N70" s="17"/>
      <c r="O70" s="15" t="s">
        <v>738</v>
      </c>
      <c r="P70" s="15" t="s">
        <v>822</v>
      </c>
      <c r="Q70" s="15" t="s">
        <v>1241</v>
      </c>
      <c r="R70" s="17"/>
      <c r="S70" s="40" t="str">
        <f>"820,0"</f>
        <v>820,0</v>
      </c>
      <c r="T70" s="17" t="str">
        <f>"527,0960"</f>
        <v>527,0960</v>
      </c>
      <c r="U70" s="14" t="s">
        <v>981</v>
      </c>
    </row>
    <row r="71" spans="1:21">
      <c r="A71" s="17" t="s">
        <v>73</v>
      </c>
      <c r="B71" s="14" t="s">
        <v>1705</v>
      </c>
      <c r="C71" s="14" t="s">
        <v>1706</v>
      </c>
      <c r="D71" s="14" t="s">
        <v>1076</v>
      </c>
      <c r="E71" s="14" t="str">
        <f>"0,6447"</f>
        <v>0,6447</v>
      </c>
      <c r="F71" s="14" t="s">
        <v>1707</v>
      </c>
      <c r="G71" s="16" t="s">
        <v>822</v>
      </c>
      <c r="H71" s="15" t="s">
        <v>822</v>
      </c>
      <c r="I71" s="16" t="s">
        <v>824</v>
      </c>
      <c r="J71" s="17"/>
      <c r="K71" s="15" t="s">
        <v>368</v>
      </c>
      <c r="L71" s="16" t="s">
        <v>374</v>
      </c>
      <c r="M71" s="16" t="s">
        <v>374</v>
      </c>
      <c r="N71" s="17"/>
      <c r="O71" s="15" t="s">
        <v>804</v>
      </c>
      <c r="P71" s="15" t="s">
        <v>1078</v>
      </c>
      <c r="Q71" s="16" t="s">
        <v>839</v>
      </c>
      <c r="R71" s="17"/>
      <c r="S71" s="40" t="str">
        <f>"790,0"</f>
        <v>790,0</v>
      </c>
      <c r="T71" s="17" t="str">
        <f>"509,3130"</f>
        <v>509,3130</v>
      </c>
      <c r="U71" s="14" t="s">
        <v>1708</v>
      </c>
    </row>
    <row r="72" spans="1:21">
      <c r="A72" s="17" t="s">
        <v>75</v>
      </c>
      <c r="B72" s="14" t="s">
        <v>1709</v>
      </c>
      <c r="C72" s="14" t="s">
        <v>1710</v>
      </c>
      <c r="D72" s="14" t="s">
        <v>1081</v>
      </c>
      <c r="E72" s="14" t="str">
        <f>"0,6384"</f>
        <v>0,6384</v>
      </c>
      <c r="F72" s="14" t="s">
        <v>176</v>
      </c>
      <c r="G72" s="15" t="s">
        <v>738</v>
      </c>
      <c r="H72" s="16" t="s">
        <v>1005</v>
      </c>
      <c r="I72" s="16" t="s">
        <v>1005</v>
      </c>
      <c r="J72" s="17"/>
      <c r="K72" s="15" t="s">
        <v>453</v>
      </c>
      <c r="L72" s="15" t="s">
        <v>454</v>
      </c>
      <c r="M72" s="15" t="s">
        <v>506</v>
      </c>
      <c r="N72" s="17"/>
      <c r="O72" s="15" t="s">
        <v>1043</v>
      </c>
      <c r="P72" s="16" t="s">
        <v>1711</v>
      </c>
      <c r="Q72" s="16" t="s">
        <v>839</v>
      </c>
      <c r="R72" s="17"/>
      <c r="S72" s="40" t="str">
        <f>"787,5"</f>
        <v>787,5</v>
      </c>
      <c r="T72" s="17" t="str">
        <f>"502,7400"</f>
        <v>502,7400</v>
      </c>
      <c r="U72" s="14" t="s">
        <v>1712</v>
      </c>
    </row>
    <row r="73" spans="1:21">
      <c r="A73" s="17" t="s">
        <v>87</v>
      </c>
      <c r="B73" s="14" t="s">
        <v>1713</v>
      </c>
      <c r="C73" s="14" t="s">
        <v>1714</v>
      </c>
      <c r="D73" s="14" t="s">
        <v>1101</v>
      </c>
      <c r="E73" s="14" t="str">
        <f>"0,6540"</f>
        <v>0,6540</v>
      </c>
      <c r="F73" s="14" t="s">
        <v>1300</v>
      </c>
      <c r="G73" s="15" t="s">
        <v>523</v>
      </c>
      <c r="H73" s="15" t="s">
        <v>738</v>
      </c>
      <c r="I73" s="16" t="s">
        <v>804</v>
      </c>
      <c r="J73" s="17"/>
      <c r="K73" s="15" t="s">
        <v>248</v>
      </c>
      <c r="L73" s="15" t="s">
        <v>398</v>
      </c>
      <c r="M73" s="16" t="s">
        <v>368</v>
      </c>
      <c r="N73" s="17"/>
      <c r="O73" s="15" t="s">
        <v>640</v>
      </c>
      <c r="P73" s="15" t="s">
        <v>738</v>
      </c>
      <c r="Q73" s="16" t="s">
        <v>822</v>
      </c>
      <c r="R73" s="17"/>
      <c r="S73" s="40" t="str">
        <f>"740,0"</f>
        <v>740,0</v>
      </c>
      <c r="T73" s="17" t="str">
        <f>"483,9600"</f>
        <v>483,9600</v>
      </c>
      <c r="U73" s="14" t="s">
        <v>158</v>
      </c>
    </row>
    <row r="74" spans="1:21">
      <c r="A74" s="17" t="s">
        <v>168</v>
      </c>
      <c r="B74" s="14" t="s">
        <v>1715</v>
      </c>
      <c r="C74" s="14" t="s">
        <v>1716</v>
      </c>
      <c r="D74" s="14" t="s">
        <v>1070</v>
      </c>
      <c r="E74" s="14" t="str">
        <f>"0,6424"</f>
        <v>0,6424</v>
      </c>
      <c r="F74" s="14" t="s">
        <v>594</v>
      </c>
      <c r="G74" s="15" t="s">
        <v>490</v>
      </c>
      <c r="H74" s="15" t="s">
        <v>491</v>
      </c>
      <c r="I74" s="16" t="s">
        <v>754</v>
      </c>
      <c r="J74" s="17"/>
      <c r="K74" s="15" t="s">
        <v>550</v>
      </c>
      <c r="L74" s="15" t="s">
        <v>398</v>
      </c>
      <c r="M74" s="16" t="s">
        <v>458</v>
      </c>
      <c r="N74" s="17"/>
      <c r="O74" s="15" t="s">
        <v>491</v>
      </c>
      <c r="P74" s="16" t="s">
        <v>1717</v>
      </c>
      <c r="Q74" s="15" t="s">
        <v>1717</v>
      </c>
      <c r="R74" s="17"/>
      <c r="S74" s="40" t="str">
        <f>"722,5"</f>
        <v>722,5</v>
      </c>
      <c r="T74" s="17" t="str">
        <f>"464,1340"</f>
        <v>464,1340</v>
      </c>
      <c r="U74" s="14" t="s">
        <v>158</v>
      </c>
    </row>
    <row r="75" spans="1:21">
      <c r="A75" s="17" t="s">
        <v>172</v>
      </c>
      <c r="B75" s="14" t="s">
        <v>1718</v>
      </c>
      <c r="C75" s="14" t="s">
        <v>1719</v>
      </c>
      <c r="D75" s="14" t="s">
        <v>1720</v>
      </c>
      <c r="E75" s="14" t="str">
        <f>"0,6511"</f>
        <v>0,6511</v>
      </c>
      <c r="F75" s="14" t="s">
        <v>1721</v>
      </c>
      <c r="G75" s="15" t="s">
        <v>529</v>
      </c>
      <c r="H75" s="15" t="s">
        <v>640</v>
      </c>
      <c r="I75" s="16" t="s">
        <v>803</v>
      </c>
      <c r="J75" s="17"/>
      <c r="K75" s="15" t="s">
        <v>427</v>
      </c>
      <c r="L75" s="15" t="s">
        <v>347</v>
      </c>
      <c r="M75" s="15" t="s">
        <v>248</v>
      </c>
      <c r="N75" s="17"/>
      <c r="O75" s="15" t="s">
        <v>640</v>
      </c>
      <c r="P75" s="15" t="s">
        <v>738</v>
      </c>
      <c r="Q75" s="17"/>
      <c r="R75" s="17"/>
      <c r="S75" s="40" t="str">
        <f>"720,0"</f>
        <v>720,0</v>
      </c>
      <c r="T75" s="17" t="str">
        <f>"468,7920"</f>
        <v>468,7920</v>
      </c>
      <c r="U75" s="14" t="s">
        <v>1722</v>
      </c>
    </row>
    <row r="76" spans="1:21">
      <c r="A76" s="17" t="s">
        <v>178</v>
      </c>
      <c r="B76" s="14" t="s">
        <v>1695</v>
      </c>
      <c r="C76" s="14" t="s">
        <v>1723</v>
      </c>
      <c r="D76" s="14" t="s">
        <v>653</v>
      </c>
      <c r="E76" s="14" t="str">
        <f>"0,6475"</f>
        <v>0,6475</v>
      </c>
      <c r="F76" s="14" t="s">
        <v>1697</v>
      </c>
      <c r="G76" s="15" t="s">
        <v>490</v>
      </c>
      <c r="H76" s="16" t="s">
        <v>754</v>
      </c>
      <c r="I76" s="16" t="s">
        <v>754</v>
      </c>
      <c r="J76" s="17"/>
      <c r="K76" s="15" t="s">
        <v>59</v>
      </c>
      <c r="L76" s="15" t="s">
        <v>342</v>
      </c>
      <c r="M76" s="17"/>
      <c r="N76" s="17"/>
      <c r="O76" s="15" t="s">
        <v>804</v>
      </c>
      <c r="P76" s="16" t="s">
        <v>1043</v>
      </c>
      <c r="Q76" s="16" t="s">
        <v>1078</v>
      </c>
      <c r="R76" s="17"/>
      <c r="S76" s="40" t="str">
        <f>"702,5"</f>
        <v>702,5</v>
      </c>
      <c r="T76" s="17" t="str">
        <f>"454,8687"</f>
        <v>454,8687</v>
      </c>
      <c r="U76" s="14" t="s">
        <v>1698</v>
      </c>
    </row>
    <row r="77" spans="1:21">
      <c r="A77" s="17" t="s">
        <v>183</v>
      </c>
      <c r="B77" s="14" t="s">
        <v>1724</v>
      </c>
      <c r="C77" s="14" t="s">
        <v>1725</v>
      </c>
      <c r="D77" s="14" t="s">
        <v>1726</v>
      </c>
      <c r="E77" s="14" t="str">
        <f>"0,6619"</f>
        <v>0,6619</v>
      </c>
      <c r="F77" s="14" t="s">
        <v>1727</v>
      </c>
      <c r="G77" s="15" t="s">
        <v>459</v>
      </c>
      <c r="H77" s="15" t="s">
        <v>490</v>
      </c>
      <c r="I77" s="16" t="s">
        <v>523</v>
      </c>
      <c r="J77" s="17"/>
      <c r="K77" s="15" t="s">
        <v>205</v>
      </c>
      <c r="L77" s="15" t="s">
        <v>151</v>
      </c>
      <c r="M77" s="15" t="s">
        <v>152</v>
      </c>
      <c r="N77" s="17"/>
      <c r="O77" s="15" t="s">
        <v>421</v>
      </c>
      <c r="P77" s="15" t="s">
        <v>422</v>
      </c>
      <c r="Q77" s="16" t="s">
        <v>490</v>
      </c>
      <c r="R77" s="17"/>
      <c r="S77" s="40" t="str">
        <f>"655,0"</f>
        <v>655,0</v>
      </c>
      <c r="T77" s="17" t="str">
        <f>"433,5445"</f>
        <v>433,5445</v>
      </c>
      <c r="U77" s="14" t="s">
        <v>158</v>
      </c>
    </row>
    <row r="78" spans="1:21">
      <c r="A78" s="17" t="s">
        <v>186</v>
      </c>
      <c r="B78" s="14" t="s">
        <v>1728</v>
      </c>
      <c r="C78" s="14" t="s">
        <v>1729</v>
      </c>
      <c r="D78" s="14" t="s">
        <v>615</v>
      </c>
      <c r="E78" s="14" t="str">
        <f>"0,6491"</f>
        <v>0,6491</v>
      </c>
      <c r="F78" s="14" t="s">
        <v>1730</v>
      </c>
      <c r="G78" s="15" t="s">
        <v>392</v>
      </c>
      <c r="H78" s="15" t="s">
        <v>399</v>
      </c>
      <c r="I78" s="15" t="s">
        <v>436</v>
      </c>
      <c r="J78" s="17"/>
      <c r="K78" s="15" t="s">
        <v>152</v>
      </c>
      <c r="L78" s="15" t="s">
        <v>351</v>
      </c>
      <c r="M78" s="16" t="s">
        <v>398</v>
      </c>
      <c r="N78" s="17"/>
      <c r="O78" s="15" t="s">
        <v>420</v>
      </c>
      <c r="P78" s="15" t="s">
        <v>421</v>
      </c>
      <c r="Q78" s="16" t="s">
        <v>422</v>
      </c>
      <c r="R78" s="17"/>
      <c r="S78" s="40" t="str">
        <f>"620,0"</f>
        <v>620,0</v>
      </c>
      <c r="T78" s="17" t="str">
        <f>"402,4420"</f>
        <v>402,4420</v>
      </c>
      <c r="U78" s="14" t="s">
        <v>158</v>
      </c>
    </row>
    <row r="79" spans="1:21">
      <c r="A79" s="17" t="s">
        <v>556</v>
      </c>
      <c r="B79" s="14" t="s">
        <v>1731</v>
      </c>
      <c r="C79" s="14" t="s">
        <v>1732</v>
      </c>
      <c r="D79" s="14" t="s">
        <v>1070</v>
      </c>
      <c r="E79" s="14" t="str">
        <f>"0,6424"</f>
        <v>0,6424</v>
      </c>
      <c r="F79" s="14" t="s">
        <v>594</v>
      </c>
      <c r="G79" s="16" t="s">
        <v>420</v>
      </c>
      <c r="H79" s="16" t="s">
        <v>442</v>
      </c>
      <c r="I79" s="15" t="s">
        <v>442</v>
      </c>
      <c r="J79" s="17"/>
      <c r="K79" s="15" t="s">
        <v>58</v>
      </c>
      <c r="L79" s="15" t="s">
        <v>60</v>
      </c>
      <c r="M79" s="15" t="s">
        <v>151</v>
      </c>
      <c r="N79" s="17"/>
      <c r="O79" s="16" t="s">
        <v>374</v>
      </c>
      <c r="P79" s="15" t="s">
        <v>399</v>
      </c>
      <c r="Q79" s="15" t="s">
        <v>384</v>
      </c>
      <c r="R79" s="17"/>
      <c r="S79" s="40" t="str">
        <f>"595,0"</f>
        <v>595,0</v>
      </c>
      <c r="T79" s="17" t="str">
        <f>"382,2280"</f>
        <v>382,2280</v>
      </c>
      <c r="U79" s="14" t="s">
        <v>1733</v>
      </c>
    </row>
    <row r="80" spans="1:21">
      <c r="A80" s="17" t="s">
        <v>92</v>
      </c>
      <c r="B80" s="14" t="s">
        <v>1734</v>
      </c>
      <c r="C80" s="14" t="s">
        <v>1735</v>
      </c>
      <c r="D80" s="14" t="s">
        <v>1736</v>
      </c>
      <c r="E80" s="14" t="str">
        <f>"0,6410"</f>
        <v>0,6410</v>
      </c>
      <c r="F80" s="14" t="s">
        <v>1694</v>
      </c>
      <c r="G80" s="16" t="s">
        <v>823</v>
      </c>
      <c r="H80" s="16" t="s">
        <v>823</v>
      </c>
      <c r="I80" s="16" t="s">
        <v>1043</v>
      </c>
      <c r="J80" s="17"/>
      <c r="K80" s="17"/>
      <c r="L80" s="17"/>
      <c r="M80" s="17"/>
      <c r="N80" s="17"/>
      <c r="O80" s="17"/>
      <c r="P80" s="17"/>
      <c r="Q80" s="17"/>
      <c r="R80" s="17"/>
      <c r="S80" s="40">
        <v>0</v>
      </c>
      <c r="T80" s="17" t="str">
        <f>"0,0000"</f>
        <v>0,0000</v>
      </c>
      <c r="U80" s="14" t="s">
        <v>158</v>
      </c>
    </row>
    <row r="81" spans="1:21">
      <c r="A81" s="17" t="s">
        <v>15</v>
      </c>
      <c r="B81" s="14" t="s">
        <v>1737</v>
      </c>
      <c r="C81" s="14" t="s">
        <v>1738</v>
      </c>
      <c r="D81" s="14" t="s">
        <v>1070</v>
      </c>
      <c r="E81" s="14" t="str">
        <f>"0,6424"</f>
        <v>0,6424</v>
      </c>
      <c r="F81" s="14" t="s">
        <v>176</v>
      </c>
      <c r="G81" s="15" t="s">
        <v>384</v>
      </c>
      <c r="H81" s="15" t="s">
        <v>421</v>
      </c>
      <c r="I81" s="15" t="s">
        <v>422</v>
      </c>
      <c r="J81" s="17"/>
      <c r="K81" s="15" t="s">
        <v>58</v>
      </c>
      <c r="L81" s="15" t="s">
        <v>342</v>
      </c>
      <c r="M81" s="16" t="s">
        <v>151</v>
      </c>
      <c r="N81" s="17"/>
      <c r="O81" s="15" t="s">
        <v>422</v>
      </c>
      <c r="P81" s="16" t="s">
        <v>523</v>
      </c>
      <c r="Q81" s="15" t="s">
        <v>523</v>
      </c>
      <c r="R81" s="17"/>
      <c r="S81" s="40" t="str">
        <f>"652,5"</f>
        <v>652,5</v>
      </c>
      <c r="T81" s="17" t="str">
        <f>"430,9027"</f>
        <v>430,9027</v>
      </c>
      <c r="U81" s="14" t="s">
        <v>1000</v>
      </c>
    </row>
    <row r="82" spans="1:21">
      <c r="A82" s="17" t="s">
        <v>62</v>
      </c>
      <c r="B82" s="14" t="s">
        <v>1739</v>
      </c>
      <c r="C82" s="14" t="s">
        <v>1740</v>
      </c>
      <c r="D82" s="14" t="s">
        <v>1741</v>
      </c>
      <c r="E82" s="14" t="str">
        <f>"0,6487"</f>
        <v>0,6487</v>
      </c>
      <c r="F82" s="14" t="s">
        <v>594</v>
      </c>
      <c r="G82" s="15" t="s">
        <v>422</v>
      </c>
      <c r="H82" s="16" t="s">
        <v>529</v>
      </c>
      <c r="I82" s="16" t="s">
        <v>529</v>
      </c>
      <c r="J82" s="17"/>
      <c r="K82" s="15" t="s">
        <v>157</v>
      </c>
      <c r="L82" s="15" t="s">
        <v>59</v>
      </c>
      <c r="M82" s="16" t="s">
        <v>342</v>
      </c>
      <c r="N82" s="17"/>
      <c r="O82" s="16" t="s">
        <v>420</v>
      </c>
      <c r="P82" s="15" t="s">
        <v>420</v>
      </c>
      <c r="Q82" s="16" t="s">
        <v>529</v>
      </c>
      <c r="R82" s="17"/>
      <c r="S82" s="40" t="str">
        <f>"605,0"</f>
        <v>605,0</v>
      </c>
      <c r="T82" s="17" t="str">
        <f>"392,4635"</f>
        <v>392,4635</v>
      </c>
      <c r="U82" s="14" t="s">
        <v>1742</v>
      </c>
    </row>
    <row r="83" spans="1:21">
      <c r="A83" s="17" t="s">
        <v>15</v>
      </c>
      <c r="B83" s="14" t="s">
        <v>1715</v>
      </c>
      <c r="C83" s="14" t="s">
        <v>1743</v>
      </c>
      <c r="D83" s="14" t="s">
        <v>1070</v>
      </c>
      <c r="E83" s="14" t="str">
        <f>"0,6424"</f>
        <v>0,6424</v>
      </c>
      <c r="F83" s="14" t="s">
        <v>594</v>
      </c>
      <c r="G83" s="15" t="s">
        <v>490</v>
      </c>
      <c r="H83" s="15" t="s">
        <v>491</v>
      </c>
      <c r="I83" s="16" t="s">
        <v>754</v>
      </c>
      <c r="J83" s="17"/>
      <c r="K83" s="15" t="s">
        <v>550</v>
      </c>
      <c r="L83" s="15" t="s">
        <v>398</v>
      </c>
      <c r="M83" s="16" t="s">
        <v>458</v>
      </c>
      <c r="N83" s="17"/>
      <c r="O83" s="15" t="s">
        <v>491</v>
      </c>
      <c r="P83" s="16" t="s">
        <v>1717</v>
      </c>
      <c r="Q83" s="15" t="s">
        <v>1717</v>
      </c>
      <c r="R83" s="17"/>
      <c r="S83" s="40" t="str">
        <f>"722,5"</f>
        <v>722,5</v>
      </c>
      <c r="T83" s="17" t="str">
        <f>"542,1085"</f>
        <v>542,1085</v>
      </c>
      <c r="U83" s="14" t="s">
        <v>158</v>
      </c>
    </row>
    <row r="84" spans="1:21">
      <c r="A84" s="17" t="s">
        <v>62</v>
      </c>
      <c r="B84" s="14" t="s">
        <v>1744</v>
      </c>
      <c r="C84" s="14" t="s">
        <v>1745</v>
      </c>
      <c r="D84" s="14" t="s">
        <v>1118</v>
      </c>
      <c r="E84" s="14" t="str">
        <f>"0,6440"</f>
        <v>0,6440</v>
      </c>
      <c r="F84" s="14" t="s">
        <v>1746</v>
      </c>
      <c r="G84" s="16" t="s">
        <v>421</v>
      </c>
      <c r="H84" s="15" t="s">
        <v>421</v>
      </c>
      <c r="I84" s="15" t="s">
        <v>490</v>
      </c>
      <c r="J84" s="17"/>
      <c r="K84" s="15" t="s">
        <v>205</v>
      </c>
      <c r="L84" s="15" t="s">
        <v>427</v>
      </c>
      <c r="M84" s="15" t="s">
        <v>347</v>
      </c>
      <c r="N84" s="17"/>
      <c r="O84" s="15" t="s">
        <v>640</v>
      </c>
      <c r="P84" s="15" t="s">
        <v>745</v>
      </c>
      <c r="Q84" s="16" t="s">
        <v>746</v>
      </c>
      <c r="R84" s="17"/>
      <c r="S84" s="40" t="str">
        <f>"702,5"</f>
        <v>702,5</v>
      </c>
      <c r="T84" s="17" t="str">
        <f>"546,0589"</f>
        <v>546,0589</v>
      </c>
      <c r="U84" s="14" t="s">
        <v>158</v>
      </c>
    </row>
    <row r="85" spans="1:21">
      <c r="A85" s="20" t="s">
        <v>73</v>
      </c>
      <c r="B85" s="18" t="s">
        <v>1747</v>
      </c>
      <c r="C85" s="18" t="s">
        <v>1748</v>
      </c>
      <c r="D85" s="18" t="s">
        <v>1749</v>
      </c>
      <c r="E85" s="18" t="str">
        <f>"0,6463"</f>
        <v>0,6463</v>
      </c>
      <c r="F85" s="18" t="s">
        <v>728</v>
      </c>
      <c r="G85" s="22" t="s">
        <v>374</v>
      </c>
      <c r="H85" s="22" t="s">
        <v>374</v>
      </c>
      <c r="I85" s="19" t="s">
        <v>374</v>
      </c>
      <c r="J85" s="20"/>
      <c r="K85" s="19" t="s">
        <v>70</v>
      </c>
      <c r="L85" s="19" t="s">
        <v>85</v>
      </c>
      <c r="M85" s="19" t="s">
        <v>209</v>
      </c>
      <c r="N85" s="20"/>
      <c r="O85" s="22" t="s">
        <v>420</v>
      </c>
      <c r="P85" s="19" t="s">
        <v>442</v>
      </c>
      <c r="Q85" s="19" t="s">
        <v>422</v>
      </c>
      <c r="R85" s="20"/>
      <c r="S85" s="38" t="str">
        <f>"575,0"</f>
        <v>575,0</v>
      </c>
      <c r="T85" s="20" t="str">
        <f>"481,9944"</f>
        <v>481,9944</v>
      </c>
      <c r="U85" s="18" t="s">
        <v>158</v>
      </c>
    </row>
    <row r="86" spans="1:21">
      <c r="B86" s="5" t="s">
        <v>40</v>
      </c>
    </row>
    <row r="87" spans="1:21" ht="15.95">
      <c r="A87" s="102" t="s">
        <v>670</v>
      </c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</row>
    <row r="88" spans="1:21">
      <c r="A88" s="13" t="s">
        <v>15</v>
      </c>
      <c r="B88" s="11" t="s">
        <v>1750</v>
      </c>
      <c r="C88" s="11" t="s">
        <v>1751</v>
      </c>
      <c r="D88" s="11" t="s">
        <v>1210</v>
      </c>
      <c r="E88" s="11" t="str">
        <f>"0,6088"</f>
        <v>0,6088</v>
      </c>
      <c r="F88" s="11" t="s">
        <v>1643</v>
      </c>
      <c r="G88" s="21" t="s">
        <v>822</v>
      </c>
      <c r="H88" s="21" t="s">
        <v>822</v>
      </c>
      <c r="I88" s="12" t="s">
        <v>822</v>
      </c>
      <c r="J88" s="13"/>
      <c r="K88" s="12" t="s">
        <v>398</v>
      </c>
      <c r="L88" s="12" t="s">
        <v>392</v>
      </c>
      <c r="M88" s="12" t="s">
        <v>506</v>
      </c>
      <c r="N88" s="13"/>
      <c r="O88" s="12" t="s">
        <v>640</v>
      </c>
      <c r="P88" s="21" t="s">
        <v>822</v>
      </c>
      <c r="Q88" s="12" t="s">
        <v>822</v>
      </c>
      <c r="R88" s="13"/>
      <c r="S88" s="37" t="str">
        <f>"777,5"</f>
        <v>777,5</v>
      </c>
      <c r="T88" s="13" t="str">
        <f>"473,3420"</f>
        <v>473,3420</v>
      </c>
      <c r="U88" s="11" t="s">
        <v>1752</v>
      </c>
    </row>
    <row r="89" spans="1:21">
      <c r="A89" s="17" t="s">
        <v>15</v>
      </c>
      <c r="B89" s="14" t="s">
        <v>1753</v>
      </c>
      <c r="C89" s="14" t="s">
        <v>1754</v>
      </c>
      <c r="D89" s="14" t="s">
        <v>1755</v>
      </c>
      <c r="E89" s="14" t="str">
        <f>"0,6142"</f>
        <v>0,6142</v>
      </c>
      <c r="F89" s="14" t="s">
        <v>79</v>
      </c>
      <c r="G89" s="15" t="s">
        <v>738</v>
      </c>
      <c r="H89" s="15" t="s">
        <v>1005</v>
      </c>
      <c r="I89" s="15" t="s">
        <v>823</v>
      </c>
      <c r="J89" s="17"/>
      <c r="K89" s="15" t="s">
        <v>383</v>
      </c>
      <c r="L89" s="16" t="s">
        <v>374</v>
      </c>
      <c r="M89" s="16" t="s">
        <v>374</v>
      </c>
      <c r="N89" s="17"/>
      <c r="O89" s="16" t="s">
        <v>1078</v>
      </c>
      <c r="P89" s="16" t="s">
        <v>1078</v>
      </c>
      <c r="Q89" s="15" t="s">
        <v>1078</v>
      </c>
      <c r="R89" s="17"/>
      <c r="S89" s="40" t="str">
        <f>"817,5"</f>
        <v>817,5</v>
      </c>
      <c r="T89" s="17" t="str">
        <f>"502,1085"</f>
        <v>502,1085</v>
      </c>
      <c r="U89" s="14" t="s">
        <v>158</v>
      </c>
    </row>
    <row r="90" spans="1:21">
      <c r="A90" s="17" t="s">
        <v>62</v>
      </c>
      <c r="B90" s="14" t="s">
        <v>1756</v>
      </c>
      <c r="C90" s="14" t="s">
        <v>621</v>
      </c>
      <c r="D90" s="14" t="s">
        <v>1757</v>
      </c>
      <c r="E90" s="14" t="str">
        <f>"0,6147"</f>
        <v>0,6147</v>
      </c>
      <c r="F90" s="14" t="s">
        <v>166</v>
      </c>
      <c r="G90" s="15" t="s">
        <v>745</v>
      </c>
      <c r="H90" s="15" t="s">
        <v>804</v>
      </c>
      <c r="I90" s="16" t="s">
        <v>1043</v>
      </c>
      <c r="J90" s="17"/>
      <c r="K90" s="15" t="s">
        <v>151</v>
      </c>
      <c r="L90" s="15" t="s">
        <v>248</v>
      </c>
      <c r="M90" s="15" t="s">
        <v>351</v>
      </c>
      <c r="N90" s="17"/>
      <c r="O90" s="15" t="s">
        <v>745</v>
      </c>
      <c r="P90" s="15" t="s">
        <v>1005</v>
      </c>
      <c r="Q90" s="15" t="s">
        <v>1030</v>
      </c>
      <c r="R90" s="17"/>
      <c r="S90" s="40" t="str">
        <f>"780,0"</f>
        <v>780,0</v>
      </c>
      <c r="T90" s="17" t="str">
        <f>"479,4660"</f>
        <v>479,4660</v>
      </c>
      <c r="U90" s="14" t="s">
        <v>1758</v>
      </c>
    </row>
    <row r="91" spans="1:21">
      <c r="A91" s="17" t="s">
        <v>73</v>
      </c>
      <c r="B91" s="14" t="s">
        <v>1759</v>
      </c>
      <c r="C91" s="14" t="s">
        <v>1760</v>
      </c>
      <c r="D91" s="14" t="s">
        <v>1137</v>
      </c>
      <c r="E91" s="14" t="str">
        <f>"0,6163"</f>
        <v>0,6163</v>
      </c>
      <c r="F91" s="14" t="s">
        <v>1761</v>
      </c>
      <c r="G91" s="16" t="s">
        <v>491</v>
      </c>
      <c r="H91" s="16" t="s">
        <v>491</v>
      </c>
      <c r="I91" s="15" t="s">
        <v>491</v>
      </c>
      <c r="J91" s="17"/>
      <c r="K91" s="15" t="s">
        <v>59</v>
      </c>
      <c r="L91" s="16" t="s">
        <v>342</v>
      </c>
      <c r="M91" s="15" t="s">
        <v>342</v>
      </c>
      <c r="N91" s="17"/>
      <c r="O91" s="15" t="s">
        <v>523</v>
      </c>
      <c r="P91" s="15" t="s">
        <v>822</v>
      </c>
      <c r="Q91" s="16" t="s">
        <v>1043</v>
      </c>
      <c r="R91" s="17"/>
      <c r="S91" s="40" t="str">
        <f>"707,5"</f>
        <v>707,5</v>
      </c>
      <c r="T91" s="17" t="str">
        <f>"436,0322"</f>
        <v>436,0322</v>
      </c>
      <c r="U91" s="14" t="s">
        <v>1762</v>
      </c>
    </row>
    <row r="92" spans="1:21">
      <c r="A92" s="17" t="s">
        <v>15</v>
      </c>
      <c r="B92" s="14" t="s">
        <v>1763</v>
      </c>
      <c r="C92" s="14" t="s">
        <v>1764</v>
      </c>
      <c r="D92" s="14" t="s">
        <v>1765</v>
      </c>
      <c r="E92" s="14" t="str">
        <f>"0,6096"</f>
        <v>0,6096</v>
      </c>
      <c r="F92" s="14" t="s">
        <v>270</v>
      </c>
      <c r="G92" s="15" t="s">
        <v>839</v>
      </c>
      <c r="H92" s="15" t="s">
        <v>1229</v>
      </c>
      <c r="I92" s="16" t="s">
        <v>1329</v>
      </c>
      <c r="J92" s="17"/>
      <c r="K92" s="15" t="s">
        <v>495</v>
      </c>
      <c r="L92" s="15" t="s">
        <v>385</v>
      </c>
      <c r="M92" s="15" t="s">
        <v>1766</v>
      </c>
      <c r="N92" s="17"/>
      <c r="O92" s="15" t="s">
        <v>839</v>
      </c>
      <c r="P92" s="15" t="s">
        <v>1767</v>
      </c>
      <c r="Q92" s="16" t="s">
        <v>1768</v>
      </c>
      <c r="R92" s="17"/>
      <c r="S92" s="40" t="str">
        <f>"929,0"</f>
        <v>929,0</v>
      </c>
      <c r="T92" s="17" t="str">
        <f>"566,3184"</f>
        <v>566,3184</v>
      </c>
      <c r="U92" s="14" t="s">
        <v>158</v>
      </c>
    </row>
    <row r="93" spans="1:21">
      <c r="A93" s="17" t="s">
        <v>62</v>
      </c>
      <c r="B93" s="14" t="s">
        <v>1769</v>
      </c>
      <c r="C93" s="14" t="s">
        <v>1770</v>
      </c>
      <c r="D93" s="14" t="s">
        <v>698</v>
      </c>
      <c r="E93" s="14" t="str">
        <f>"0,6111"</f>
        <v>0,6111</v>
      </c>
      <c r="F93" s="14" t="s">
        <v>591</v>
      </c>
      <c r="G93" s="16" t="s">
        <v>1043</v>
      </c>
      <c r="H93" s="15" t="s">
        <v>1043</v>
      </c>
      <c r="I93" s="15" t="s">
        <v>839</v>
      </c>
      <c r="J93" s="17"/>
      <c r="K93" s="15" t="s">
        <v>458</v>
      </c>
      <c r="L93" s="15" t="s">
        <v>392</v>
      </c>
      <c r="M93" s="16" t="s">
        <v>383</v>
      </c>
      <c r="N93" s="17"/>
      <c r="O93" s="15" t="s">
        <v>804</v>
      </c>
      <c r="P93" s="15" t="s">
        <v>824</v>
      </c>
      <c r="Q93" s="16" t="s">
        <v>1151</v>
      </c>
      <c r="R93" s="17"/>
      <c r="S93" s="40" t="str">
        <f>"827,5"</f>
        <v>827,5</v>
      </c>
      <c r="T93" s="17" t="str">
        <f>"505,6853"</f>
        <v>505,6853</v>
      </c>
      <c r="U93" s="14" t="s">
        <v>1771</v>
      </c>
    </row>
    <row r="94" spans="1:21">
      <c r="A94" s="17" t="s">
        <v>73</v>
      </c>
      <c r="B94" s="14" t="s">
        <v>1772</v>
      </c>
      <c r="C94" s="14" t="s">
        <v>1773</v>
      </c>
      <c r="D94" s="14" t="s">
        <v>1774</v>
      </c>
      <c r="E94" s="14" t="str">
        <f>"0,6226"</f>
        <v>0,6226</v>
      </c>
      <c r="F94" s="14" t="s">
        <v>633</v>
      </c>
      <c r="G94" s="16" t="s">
        <v>822</v>
      </c>
      <c r="H94" s="15" t="s">
        <v>822</v>
      </c>
      <c r="I94" s="16" t="s">
        <v>824</v>
      </c>
      <c r="J94" s="17"/>
      <c r="K94" s="15" t="s">
        <v>392</v>
      </c>
      <c r="L94" s="15" t="s">
        <v>506</v>
      </c>
      <c r="M94" s="16" t="s">
        <v>743</v>
      </c>
      <c r="N94" s="17"/>
      <c r="O94" s="15" t="s">
        <v>1087</v>
      </c>
      <c r="P94" s="16" t="s">
        <v>1141</v>
      </c>
      <c r="Q94" s="16" t="s">
        <v>1141</v>
      </c>
      <c r="R94" s="17"/>
      <c r="S94" s="40" t="str">
        <f>"822,5"</f>
        <v>822,5</v>
      </c>
      <c r="T94" s="17" t="str">
        <f>"512,0885"</f>
        <v>512,0885</v>
      </c>
      <c r="U94" s="14" t="s">
        <v>1617</v>
      </c>
    </row>
    <row r="95" spans="1:21">
      <c r="A95" s="17" t="s">
        <v>75</v>
      </c>
      <c r="B95" s="14" t="s">
        <v>1753</v>
      </c>
      <c r="C95" s="14" t="s">
        <v>1775</v>
      </c>
      <c r="D95" s="14" t="s">
        <v>1755</v>
      </c>
      <c r="E95" s="14" t="str">
        <f>"0,6142"</f>
        <v>0,6142</v>
      </c>
      <c r="F95" s="14" t="s">
        <v>79</v>
      </c>
      <c r="G95" s="15" t="s">
        <v>738</v>
      </c>
      <c r="H95" s="15" t="s">
        <v>1005</v>
      </c>
      <c r="I95" s="15" t="s">
        <v>823</v>
      </c>
      <c r="J95" s="17"/>
      <c r="K95" s="15" t="s">
        <v>383</v>
      </c>
      <c r="L95" s="16" t="s">
        <v>374</v>
      </c>
      <c r="M95" s="16" t="s">
        <v>374</v>
      </c>
      <c r="N95" s="17"/>
      <c r="O95" s="16" t="s">
        <v>1078</v>
      </c>
      <c r="P95" s="16" t="s">
        <v>1078</v>
      </c>
      <c r="Q95" s="15" t="s">
        <v>1078</v>
      </c>
      <c r="R95" s="17"/>
      <c r="S95" s="40" t="str">
        <f>"817,5"</f>
        <v>817,5</v>
      </c>
      <c r="T95" s="17" t="str">
        <f>"502,1085"</f>
        <v>502,1085</v>
      </c>
      <c r="U95" s="14" t="s">
        <v>158</v>
      </c>
    </row>
    <row r="96" spans="1:21">
      <c r="A96" s="17" t="s">
        <v>87</v>
      </c>
      <c r="B96" s="14" t="s">
        <v>1776</v>
      </c>
      <c r="C96" s="14" t="s">
        <v>1777</v>
      </c>
      <c r="D96" s="14" t="s">
        <v>1778</v>
      </c>
      <c r="E96" s="14" t="str">
        <f>"0,6129"</f>
        <v>0,6129</v>
      </c>
      <c r="F96" s="14" t="s">
        <v>1694</v>
      </c>
      <c r="G96" s="16" t="s">
        <v>1005</v>
      </c>
      <c r="H96" s="15" t="s">
        <v>1005</v>
      </c>
      <c r="I96" s="15" t="s">
        <v>1194</v>
      </c>
      <c r="J96" s="17"/>
      <c r="K96" s="15" t="s">
        <v>152</v>
      </c>
      <c r="L96" s="15" t="s">
        <v>351</v>
      </c>
      <c r="M96" s="16" t="s">
        <v>398</v>
      </c>
      <c r="N96" s="17"/>
      <c r="O96" s="15" t="s">
        <v>1087</v>
      </c>
      <c r="P96" s="16" t="s">
        <v>1779</v>
      </c>
      <c r="Q96" s="16" t="s">
        <v>1779</v>
      </c>
      <c r="R96" s="17"/>
      <c r="S96" s="40" t="str">
        <f>"812,5"</f>
        <v>812,5</v>
      </c>
      <c r="T96" s="17" t="str">
        <f>"497,9813"</f>
        <v>497,9813</v>
      </c>
      <c r="U96" s="14" t="s">
        <v>981</v>
      </c>
    </row>
    <row r="97" spans="1:21">
      <c r="A97" s="17" t="s">
        <v>168</v>
      </c>
      <c r="B97" s="14" t="s">
        <v>1780</v>
      </c>
      <c r="C97" s="14" t="s">
        <v>1781</v>
      </c>
      <c r="D97" s="14" t="s">
        <v>1147</v>
      </c>
      <c r="E97" s="14" t="str">
        <f>"0,6118"</f>
        <v>0,6118</v>
      </c>
      <c r="F97" s="14" t="s">
        <v>91</v>
      </c>
      <c r="G97" s="16" t="s">
        <v>640</v>
      </c>
      <c r="H97" s="15" t="s">
        <v>640</v>
      </c>
      <c r="I97" s="15" t="s">
        <v>822</v>
      </c>
      <c r="J97" s="17"/>
      <c r="K97" s="16" t="s">
        <v>383</v>
      </c>
      <c r="L97" s="15" t="s">
        <v>399</v>
      </c>
      <c r="M97" s="15" t="s">
        <v>455</v>
      </c>
      <c r="N97" s="17"/>
      <c r="O97" s="15" t="s">
        <v>738</v>
      </c>
      <c r="P97" s="15" t="s">
        <v>1194</v>
      </c>
      <c r="Q97" s="16" t="s">
        <v>823</v>
      </c>
      <c r="R97" s="17"/>
      <c r="S97" s="40" t="str">
        <f>"800,0"</f>
        <v>800,0</v>
      </c>
      <c r="T97" s="17" t="str">
        <f>"489,4400"</f>
        <v>489,4400</v>
      </c>
      <c r="U97" s="14" t="s">
        <v>158</v>
      </c>
    </row>
    <row r="98" spans="1:21">
      <c r="A98" s="17" t="s">
        <v>172</v>
      </c>
      <c r="B98" s="14" t="s">
        <v>1782</v>
      </c>
      <c r="C98" s="14" t="s">
        <v>1783</v>
      </c>
      <c r="D98" s="14" t="s">
        <v>708</v>
      </c>
      <c r="E98" s="14" t="str">
        <f>"0,6086"</f>
        <v>0,6086</v>
      </c>
      <c r="F98" s="14" t="s">
        <v>728</v>
      </c>
      <c r="G98" s="15" t="s">
        <v>738</v>
      </c>
      <c r="H98" s="15" t="s">
        <v>746</v>
      </c>
      <c r="I98" s="15" t="s">
        <v>1241</v>
      </c>
      <c r="J98" s="17"/>
      <c r="K98" s="15" t="s">
        <v>368</v>
      </c>
      <c r="L98" s="15" t="s">
        <v>383</v>
      </c>
      <c r="M98" s="16" t="s">
        <v>743</v>
      </c>
      <c r="N98" s="17"/>
      <c r="O98" s="15" t="s">
        <v>523</v>
      </c>
      <c r="P98" s="16" t="s">
        <v>640</v>
      </c>
      <c r="Q98" s="15" t="s">
        <v>640</v>
      </c>
      <c r="R98" s="17"/>
      <c r="S98" s="40" t="str">
        <f>"762,5"</f>
        <v>762,5</v>
      </c>
      <c r="T98" s="17" t="str">
        <f>"464,0575"</f>
        <v>464,0575</v>
      </c>
      <c r="U98" s="14" t="s">
        <v>1784</v>
      </c>
    </row>
    <row r="99" spans="1:21">
      <c r="A99" s="17" t="s">
        <v>178</v>
      </c>
      <c r="B99" s="14" t="s">
        <v>1785</v>
      </c>
      <c r="C99" s="14" t="s">
        <v>1786</v>
      </c>
      <c r="D99" s="14" t="s">
        <v>1193</v>
      </c>
      <c r="E99" s="14" t="str">
        <f>"0,6131"</f>
        <v>0,6131</v>
      </c>
      <c r="F99" s="14" t="s">
        <v>1787</v>
      </c>
      <c r="G99" s="15" t="s">
        <v>459</v>
      </c>
      <c r="H99" s="15" t="s">
        <v>490</v>
      </c>
      <c r="I99" s="15" t="s">
        <v>523</v>
      </c>
      <c r="J99" s="17"/>
      <c r="K99" s="16" t="s">
        <v>351</v>
      </c>
      <c r="L99" s="16" t="s">
        <v>368</v>
      </c>
      <c r="M99" s="15" t="s">
        <v>368</v>
      </c>
      <c r="N99" s="17"/>
      <c r="O99" s="15" t="s">
        <v>822</v>
      </c>
      <c r="P99" s="15" t="s">
        <v>824</v>
      </c>
      <c r="Q99" s="16" t="s">
        <v>1086</v>
      </c>
      <c r="R99" s="17"/>
      <c r="S99" s="40" t="str">
        <f>"757,5"</f>
        <v>757,5</v>
      </c>
      <c r="T99" s="17" t="str">
        <f>"464,4232"</f>
        <v>464,4232</v>
      </c>
      <c r="U99" s="14" t="s">
        <v>1788</v>
      </c>
    </row>
    <row r="100" spans="1:21">
      <c r="A100" s="17" t="s">
        <v>183</v>
      </c>
      <c r="B100" s="14" t="s">
        <v>1789</v>
      </c>
      <c r="C100" s="14" t="s">
        <v>1790</v>
      </c>
      <c r="D100" s="14" t="s">
        <v>1791</v>
      </c>
      <c r="E100" s="14" t="str">
        <f>"0,6158"</f>
        <v>0,6158</v>
      </c>
      <c r="F100" s="14" t="s">
        <v>156</v>
      </c>
      <c r="G100" s="15" t="s">
        <v>640</v>
      </c>
      <c r="H100" s="16" t="s">
        <v>745</v>
      </c>
      <c r="I100" s="15" t="s">
        <v>745</v>
      </c>
      <c r="J100" s="17"/>
      <c r="K100" s="15" t="s">
        <v>151</v>
      </c>
      <c r="L100" s="16" t="s">
        <v>347</v>
      </c>
      <c r="M100" s="16" t="s">
        <v>347</v>
      </c>
      <c r="N100" s="17"/>
      <c r="O100" s="15" t="s">
        <v>640</v>
      </c>
      <c r="P100" s="16" t="s">
        <v>803</v>
      </c>
      <c r="Q100" s="15" t="s">
        <v>822</v>
      </c>
      <c r="R100" s="17"/>
      <c r="S100" s="40" t="str">
        <f>"735,0"</f>
        <v>735,0</v>
      </c>
      <c r="T100" s="17" t="str">
        <f>"452,6130"</f>
        <v>452,6130</v>
      </c>
      <c r="U100" s="14" t="s">
        <v>158</v>
      </c>
    </row>
    <row r="101" spans="1:21">
      <c r="A101" s="17" t="s">
        <v>186</v>
      </c>
      <c r="B101" s="14" t="s">
        <v>1792</v>
      </c>
      <c r="C101" s="14" t="s">
        <v>1793</v>
      </c>
      <c r="D101" s="14" t="s">
        <v>1794</v>
      </c>
      <c r="E101" s="14" t="str">
        <f>"0,6209"</f>
        <v>0,6209</v>
      </c>
      <c r="F101" s="14" t="s">
        <v>91</v>
      </c>
      <c r="G101" s="15" t="s">
        <v>523</v>
      </c>
      <c r="H101" s="15" t="s">
        <v>640</v>
      </c>
      <c r="I101" s="15" t="s">
        <v>738</v>
      </c>
      <c r="J101" s="17"/>
      <c r="K101" s="15" t="s">
        <v>151</v>
      </c>
      <c r="L101" s="15" t="s">
        <v>347</v>
      </c>
      <c r="M101" s="16" t="s">
        <v>351</v>
      </c>
      <c r="N101" s="17"/>
      <c r="O101" s="15" t="s">
        <v>491</v>
      </c>
      <c r="P101" s="15" t="s">
        <v>754</v>
      </c>
      <c r="Q101" s="15" t="s">
        <v>745</v>
      </c>
      <c r="R101" s="17"/>
      <c r="S101" s="40" t="str">
        <f>"732,5"</f>
        <v>732,5</v>
      </c>
      <c r="T101" s="17" t="str">
        <f>"454,8092"</f>
        <v>454,8092</v>
      </c>
      <c r="U101" s="14" t="s">
        <v>1305</v>
      </c>
    </row>
    <row r="102" spans="1:21">
      <c r="A102" s="17" t="s">
        <v>556</v>
      </c>
      <c r="B102" s="14" t="s">
        <v>1795</v>
      </c>
      <c r="C102" s="14" t="s">
        <v>1796</v>
      </c>
      <c r="D102" s="14" t="s">
        <v>686</v>
      </c>
      <c r="E102" s="14" t="str">
        <f>"0,6113"</f>
        <v>0,6113</v>
      </c>
      <c r="F102" s="14" t="s">
        <v>1797</v>
      </c>
      <c r="G102" s="15" t="s">
        <v>523</v>
      </c>
      <c r="H102" s="15" t="s">
        <v>754</v>
      </c>
      <c r="I102" s="15" t="s">
        <v>745</v>
      </c>
      <c r="J102" s="17"/>
      <c r="K102" s="15" t="s">
        <v>248</v>
      </c>
      <c r="L102" s="15" t="s">
        <v>452</v>
      </c>
      <c r="M102" s="16" t="s">
        <v>368</v>
      </c>
      <c r="N102" s="17"/>
      <c r="O102" s="15" t="s">
        <v>640</v>
      </c>
      <c r="P102" s="16" t="s">
        <v>738</v>
      </c>
      <c r="Q102" s="16" t="s">
        <v>738</v>
      </c>
      <c r="R102" s="17"/>
      <c r="S102" s="40" t="str">
        <f>"732,5"</f>
        <v>732,5</v>
      </c>
      <c r="T102" s="17" t="str">
        <f>"447,7772"</f>
        <v>447,7772</v>
      </c>
      <c r="U102" s="14" t="s">
        <v>158</v>
      </c>
    </row>
    <row r="103" spans="1:21">
      <c r="A103" s="17" t="s">
        <v>559</v>
      </c>
      <c r="B103" s="14" t="s">
        <v>1798</v>
      </c>
      <c r="C103" s="14" t="s">
        <v>1268</v>
      </c>
      <c r="D103" s="14" t="s">
        <v>1147</v>
      </c>
      <c r="E103" s="14" t="str">
        <f>"0,6118"</f>
        <v>0,6118</v>
      </c>
      <c r="F103" s="14" t="s">
        <v>54</v>
      </c>
      <c r="G103" s="15" t="s">
        <v>490</v>
      </c>
      <c r="H103" s="15" t="s">
        <v>640</v>
      </c>
      <c r="I103" s="16" t="s">
        <v>738</v>
      </c>
      <c r="J103" s="17"/>
      <c r="K103" s="15" t="s">
        <v>205</v>
      </c>
      <c r="L103" s="15" t="s">
        <v>152</v>
      </c>
      <c r="M103" s="15" t="s">
        <v>248</v>
      </c>
      <c r="N103" s="17"/>
      <c r="O103" s="16" t="s">
        <v>640</v>
      </c>
      <c r="P103" s="15" t="s">
        <v>640</v>
      </c>
      <c r="Q103" s="16" t="s">
        <v>738</v>
      </c>
      <c r="R103" s="17"/>
      <c r="S103" s="40" t="str">
        <f>"710,0"</f>
        <v>710,0</v>
      </c>
      <c r="T103" s="17" t="str">
        <f>"434,3780"</f>
        <v>434,3780</v>
      </c>
      <c r="U103" s="14" t="s">
        <v>683</v>
      </c>
    </row>
    <row r="104" spans="1:21">
      <c r="A104" s="17" t="s">
        <v>564</v>
      </c>
      <c r="B104" s="14" t="s">
        <v>1759</v>
      </c>
      <c r="C104" s="14" t="s">
        <v>1799</v>
      </c>
      <c r="D104" s="14" t="s">
        <v>1137</v>
      </c>
      <c r="E104" s="14" t="str">
        <f>"0,6163"</f>
        <v>0,6163</v>
      </c>
      <c r="F104" s="14" t="s">
        <v>1761</v>
      </c>
      <c r="G104" s="16" t="s">
        <v>491</v>
      </c>
      <c r="H104" s="16" t="s">
        <v>491</v>
      </c>
      <c r="I104" s="15" t="s">
        <v>491</v>
      </c>
      <c r="J104" s="17"/>
      <c r="K104" s="15" t="s">
        <v>59</v>
      </c>
      <c r="L104" s="16" t="s">
        <v>342</v>
      </c>
      <c r="M104" s="15" t="s">
        <v>342</v>
      </c>
      <c r="N104" s="17"/>
      <c r="O104" s="15" t="s">
        <v>523</v>
      </c>
      <c r="P104" s="15" t="s">
        <v>822</v>
      </c>
      <c r="Q104" s="16" t="s">
        <v>1043</v>
      </c>
      <c r="R104" s="17"/>
      <c r="S104" s="40" t="str">
        <f>"707,5"</f>
        <v>707,5</v>
      </c>
      <c r="T104" s="17" t="str">
        <f>"436,0322"</f>
        <v>436,0322</v>
      </c>
      <c r="U104" s="14" t="s">
        <v>1800</v>
      </c>
    </row>
    <row r="105" spans="1:21">
      <c r="A105" s="17" t="s">
        <v>569</v>
      </c>
      <c r="B105" s="14" t="s">
        <v>1801</v>
      </c>
      <c r="C105" s="14" t="s">
        <v>1802</v>
      </c>
      <c r="D105" s="14" t="s">
        <v>681</v>
      </c>
      <c r="E105" s="14" t="str">
        <f>"0,6093"</f>
        <v>0,6093</v>
      </c>
      <c r="F105" s="14" t="s">
        <v>1803</v>
      </c>
      <c r="G105" s="15" t="s">
        <v>523</v>
      </c>
      <c r="H105" s="15" t="s">
        <v>640</v>
      </c>
      <c r="I105" s="16" t="s">
        <v>754</v>
      </c>
      <c r="J105" s="17"/>
      <c r="K105" s="15" t="s">
        <v>342</v>
      </c>
      <c r="L105" s="15" t="s">
        <v>427</v>
      </c>
      <c r="M105" s="16" t="s">
        <v>152</v>
      </c>
      <c r="N105" s="17"/>
      <c r="O105" s="15" t="s">
        <v>529</v>
      </c>
      <c r="P105" s="16" t="s">
        <v>491</v>
      </c>
      <c r="Q105" s="16" t="s">
        <v>491</v>
      </c>
      <c r="R105" s="17"/>
      <c r="S105" s="40" t="str">
        <f>"687,5"</f>
        <v>687,5</v>
      </c>
      <c r="T105" s="17" t="str">
        <f>"418,8938"</f>
        <v>418,8938</v>
      </c>
      <c r="U105" s="14" t="s">
        <v>1804</v>
      </c>
    </row>
    <row r="106" spans="1:21">
      <c r="A106" s="17" t="s">
        <v>572</v>
      </c>
      <c r="B106" s="14" t="s">
        <v>1805</v>
      </c>
      <c r="C106" s="14" t="s">
        <v>1806</v>
      </c>
      <c r="D106" s="14" t="s">
        <v>681</v>
      </c>
      <c r="E106" s="14" t="str">
        <f>"0,6093"</f>
        <v>0,6093</v>
      </c>
      <c r="F106" s="14" t="s">
        <v>1387</v>
      </c>
      <c r="G106" s="15" t="s">
        <v>422</v>
      </c>
      <c r="H106" s="15" t="s">
        <v>529</v>
      </c>
      <c r="I106" s="16" t="s">
        <v>491</v>
      </c>
      <c r="J106" s="17"/>
      <c r="K106" s="15" t="s">
        <v>248</v>
      </c>
      <c r="L106" s="16" t="s">
        <v>398</v>
      </c>
      <c r="M106" s="17"/>
      <c r="N106" s="17"/>
      <c r="O106" s="15" t="s">
        <v>490</v>
      </c>
      <c r="P106" s="16" t="s">
        <v>1042</v>
      </c>
      <c r="Q106" s="16" t="s">
        <v>491</v>
      </c>
      <c r="R106" s="17"/>
      <c r="S106" s="40" t="str">
        <f>"675,0"</f>
        <v>675,0</v>
      </c>
      <c r="T106" s="17" t="str">
        <f>"411,2775"</f>
        <v>411,2775</v>
      </c>
      <c r="U106" s="14" t="s">
        <v>1807</v>
      </c>
    </row>
    <row r="107" spans="1:21">
      <c r="A107" s="17" t="s">
        <v>577</v>
      </c>
      <c r="B107" s="14" t="s">
        <v>1808</v>
      </c>
      <c r="C107" s="14" t="s">
        <v>1809</v>
      </c>
      <c r="D107" s="14" t="s">
        <v>1197</v>
      </c>
      <c r="E107" s="14" t="str">
        <f>"0,6139"</f>
        <v>0,6139</v>
      </c>
      <c r="F107" s="14" t="s">
        <v>119</v>
      </c>
      <c r="G107" s="16" t="s">
        <v>422</v>
      </c>
      <c r="H107" s="15" t="s">
        <v>490</v>
      </c>
      <c r="I107" s="16" t="s">
        <v>523</v>
      </c>
      <c r="J107" s="17"/>
      <c r="K107" s="15" t="s">
        <v>248</v>
      </c>
      <c r="L107" s="16" t="s">
        <v>458</v>
      </c>
      <c r="M107" s="16" t="s">
        <v>453</v>
      </c>
      <c r="N107" s="17"/>
      <c r="O107" s="15" t="s">
        <v>421</v>
      </c>
      <c r="P107" s="15" t="s">
        <v>490</v>
      </c>
      <c r="Q107" s="16" t="s">
        <v>1717</v>
      </c>
      <c r="R107" s="17"/>
      <c r="S107" s="40" t="str">
        <f>"670,0"</f>
        <v>670,0</v>
      </c>
      <c r="T107" s="17" t="str">
        <f>"411,3130"</f>
        <v>411,3130</v>
      </c>
      <c r="U107" s="14" t="s">
        <v>1171</v>
      </c>
    </row>
    <row r="108" spans="1:21">
      <c r="A108" s="17" t="s">
        <v>1810</v>
      </c>
      <c r="B108" s="14" t="s">
        <v>1811</v>
      </c>
      <c r="C108" s="14" t="s">
        <v>1812</v>
      </c>
      <c r="D108" s="14" t="s">
        <v>1161</v>
      </c>
      <c r="E108" s="14" t="str">
        <f>"0,6169"</f>
        <v>0,6169</v>
      </c>
      <c r="F108" s="14" t="s">
        <v>91</v>
      </c>
      <c r="G108" s="15" t="s">
        <v>384</v>
      </c>
      <c r="H108" s="16" t="s">
        <v>421</v>
      </c>
      <c r="I108" s="16" t="s">
        <v>459</v>
      </c>
      <c r="J108" s="17"/>
      <c r="K108" s="15" t="s">
        <v>58</v>
      </c>
      <c r="L108" s="15" t="s">
        <v>60</v>
      </c>
      <c r="M108" s="15" t="s">
        <v>151</v>
      </c>
      <c r="N108" s="17"/>
      <c r="O108" s="15" t="s">
        <v>384</v>
      </c>
      <c r="P108" s="15" t="s">
        <v>421</v>
      </c>
      <c r="Q108" s="16" t="s">
        <v>422</v>
      </c>
      <c r="R108" s="17"/>
      <c r="S108" s="40" t="str">
        <f>"600,0"</f>
        <v>600,0</v>
      </c>
      <c r="T108" s="17" t="str">
        <f>"370,1400"</f>
        <v>370,1400</v>
      </c>
      <c r="U108" s="14" t="s">
        <v>158</v>
      </c>
    </row>
    <row r="109" spans="1:21">
      <c r="A109" s="17" t="s">
        <v>1813</v>
      </c>
      <c r="B109" s="14" t="s">
        <v>1814</v>
      </c>
      <c r="C109" s="14" t="s">
        <v>1815</v>
      </c>
      <c r="D109" s="14" t="s">
        <v>1816</v>
      </c>
      <c r="E109" s="14" t="str">
        <f>"0,6229"</f>
        <v>0,6229</v>
      </c>
      <c r="F109" s="14" t="s">
        <v>1817</v>
      </c>
      <c r="G109" s="15" t="s">
        <v>420</v>
      </c>
      <c r="H109" s="15" t="s">
        <v>421</v>
      </c>
      <c r="I109" s="16" t="s">
        <v>422</v>
      </c>
      <c r="J109" s="17"/>
      <c r="K109" s="15" t="s">
        <v>145</v>
      </c>
      <c r="L109" s="16" t="s">
        <v>71</v>
      </c>
      <c r="M109" s="16" t="s">
        <v>71</v>
      </c>
      <c r="N109" s="17"/>
      <c r="O109" s="15" t="s">
        <v>421</v>
      </c>
      <c r="P109" s="15" t="s">
        <v>422</v>
      </c>
      <c r="Q109" s="16" t="s">
        <v>627</v>
      </c>
      <c r="R109" s="17"/>
      <c r="S109" s="40" t="str">
        <f>"595,0"</f>
        <v>595,0</v>
      </c>
      <c r="T109" s="17" t="str">
        <f>"370,6255"</f>
        <v>370,6255</v>
      </c>
      <c r="U109" s="14" t="s">
        <v>799</v>
      </c>
    </row>
    <row r="110" spans="1:21">
      <c r="A110" s="17" t="s">
        <v>1818</v>
      </c>
      <c r="B110" s="14" t="s">
        <v>1819</v>
      </c>
      <c r="C110" s="14" t="s">
        <v>1820</v>
      </c>
      <c r="D110" s="14" t="s">
        <v>1821</v>
      </c>
      <c r="E110" s="14" t="str">
        <f>"0,6235"</f>
        <v>0,6235</v>
      </c>
      <c r="F110" s="14" t="s">
        <v>1597</v>
      </c>
      <c r="G110" s="15" t="s">
        <v>383</v>
      </c>
      <c r="H110" s="16" t="s">
        <v>384</v>
      </c>
      <c r="I110" s="16" t="s">
        <v>420</v>
      </c>
      <c r="J110" s="17"/>
      <c r="K110" s="15" t="s">
        <v>70</v>
      </c>
      <c r="L110" s="15" t="s">
        <v>71</v>
      </c>
      <c r="M110" s="16" t="s">
        <v>346</v>
      </c>
      <c r="N110" s="17"/>
      <c r="O110" s="15" t="s">
        <v>374</v>
      </c>
      <c r="P110" s="15" t="s">
        <v>384</v>
      </c>
      <c r="Q110" s="15" t="s">
        <v>420</v>
      </c>
      <c r="R110" s="17"/>
      <c r="S110" s="40" t="str">
        <f>"545,0"</f>
        <v>545,0</v>
      </c>
      <c r="T110" s="17" t="str">
        <f>"339,8075"</f>
        <v>339,8075</v>
      </c>
      <c r="U110" s="14" t="s">
        <v>1598</v>
      </c>
    </row>
    <row r="111" spans="1:21">
      <c r="A111" s="17" t="s">
        <v>92</v>
      </c>
      <c r="B111" s="14" t="s">
        <v>1822</v>
      </c>
      <c r="C111" s="14" t="s">
        <v>1823</v>
      </c>
      <c r="D111" s="14" t="s">
        <v>1193</v>
      </c>
      <c r="E111" s="14" t="str">
        <f>"0,6131"</f>
        <v>0,6131</v>
      </c>
      <c r="F111" s="14" t="s">
        <v>1824</v>
      </c>
      <c r="G111" s="16" t="s">
        <v>374</v>
      </c>
      <c r="H111" s="16" t="s">
        <v>374</v>
      </c>
      <c r="I111" s="16" t="s">
        <v>374</v>
      </c>
      <c r="J111" s="17"/>
      <c r="K111" s="16"/>
      <c r="L111" s="17"/>
      <c r="M111" s="17"/>
      <c r="N111" s="17"/>
      <c r="O111" s="16"/>
      <c r="P111" s="17"/>
      <c r="Q111" s="17"/>
      <c r="R111" s="17"/>
      <c r="S111" s="40">
        <v>0</v>
      </c>
      <c r="T111" s="17" t="str">
        <f>"0,0000"</f>
        <v>0,0000</v>
      </c>
      <c r="U111" s="14" t="s">
        <v>158</v>
      </c>
    </row>
    <row r="112" spans="1:21">
      <c r="A112" s="17" t="s">
        <v>92</v>
      </c>
      <c r="B112" s="14" t="s">
        <v>1825</v>
      </c>
      <c r="C112" s="14" t="s">
        <v>1826</v>
      </c>
      <c r="D112" s="14" t="s">
        <v>1827</v>
      </c>
      <c r="E112" s="14" t="str">
        <f>"0,6116"</f>
        <v>0,6116</v>
      </c>
      <c r="F112" s="14" t="s">
        <v>1828</v>
      </c>
      <c r="G112" s="15" t="s">
        <v>1043</v>
      </c>
      <c r="H112" s="15" t="s">
        <v>1086</v>
      </c>
      <c r="I112" s="15" t="s">
        <v>1151</v>
      </c>
      <c r="J112" s="17"/>
      <c r="K112" s="15" t="s">
        <v>743</v>
      </c>
      <c r="L112" s="15" t="s">
        <v>495</v>
      </c>
      <c r="M112" s="15" t="s">
        <v>436</v>
      </c>
      <c r="N112" s="17"/>
      <c r="O112" s="16" t="s">
        <v>1229</v>
      </c>
      <c r="P112" s="16" t="s">
        <v>1229</v>
      </c>
      <c r="Q112" s="16" t="s">
        <v>1229</v>
      </c>
      <c r="R112" s="17"/>
      <c r="S112" s="40">
        <v>0</v>
      </c>
      <c r="T112" s="17" t="str">
        <f>"0,0000"</f>
        <v>0,0000</v>
      </c>
      <c r="U112" s="14" t="s">
        <v>1829</v>
      </c>
    </row>
    <row r="113" spans="1:21">
      <c r="A113" s="17" t="s">
        <v>92</v>
      </c>
      <c r="B113" s="14" t="s">
        <v>1830</v>
      </c>
      <c r="C113" s="14" t="s">
        <v>1831</v>
      </c>
      <c r="D113" s="14" t="s">
        <v>1832</v>
      </c>
      <c r="E113" s="14" t="str">
        <f>"0,6106"</f>
        <v>0,6106</v>
      </c>
      <c r="F113" s="14" t="s">
        <v>1204</v>
      </c>
      <c r="G113" s="15" t="s">
        <v>523</v>
      </c>
      <c r="H113" s="15" t="s">
        <v>754</v>
      </c>
      <c r="I113" s="15" t="s">
        <v>745</v>
      </c>
      <c r="J113" s="17"/>
      <c r="K113" s="15" t="s">
        <v>59</v>
      </c>
      <c r="L113" s="15" t="s">
        <v>205</v>
      </c>
      <c r="M113" s="15" t="s">
        <v>151</v>
      </c>
      <c r="N113" s="17"/>
      <c r="O113" s="16" t="s">
        <v>523</v>
      </c>
      <c r="P113" s="16" t="s">
        <v>523</v>
      </c>
      <c r="Q113" s="16" t="s">
        <v>523</v>
      </c>
      <c r="R113" s="17"/>
      <c r="S113" s="40">
        <v>0</v>
      </c>
      <c r="T113" s="17" t="str">
        <f>"0,0000"</f>
        <v>0,0000</v>
      </c>
      <c r="U113" s="14" t="s">
        <v>1583</v>
      </c>
    </row>
    <row r="114" spans="1:21">
      <c r="A114" s="17" t="s">
        <v>15</v>
      </c>
      <c r="B114" s="14" t="s">
        <v>1833</v>
      </c>
      <c r="C114" s="14" t="s">
        <v>1834</v>
      </c>
      <c r="D114" s="14" t="s">
        <v>1835</v>
      </c>
      <c r="E114" s="14" t="str">
        <f>"0,6103"</f>
        <v>0,6103</v>
      </c>
      <c r="F114" s="14" t="s">
        <v>119</v>
      </c>
      <c r="G114" s="16" t="s">
        <v>640</v>
      </c>
      <c r="H114" s="16" t="s">
        <v>640</v>
      </c>
      <c r="I114" s="15" t="s">
        <v>754</v>
      </c>
      <c r="J114" s="17"/>
      <c r="K114" s="15" t="s">
        <v>248</v>
      </c>
      <c r="L114" s="15" t="s">
        <v>398</v>
      </c>
      <c r="M114" s="16" t="s">
        <v>368</v>
      </c>
      <c r="N114" s="17"/>
      <c r="O114" s="15" t="s">
        <v>523</v>
      </c>
      <c r="P114" s="15" t="s">
        <v>640</v>
      </c>
      <c r="Q114" s="16" t="s">
        <v>754</v>
      </c>
      <c r="R114" s="17"/>
      <c r="S114" s="40" t="str">
        <f>"725,0"</f>
        <v>725,0</v>
      </c>
      <c r="T114" s="17" t="str">
        <f>"469,0156"</f>
        <v>469,0156</v>
      </c>
      <c r="U114" s="14" t="s">
        <v>1171</v>
      </c>
    </row>
    <row r="115" spans="1:21">
      <c r="A115" s="17" t="s">
        <v>62</v>
      </c>
      <c r="B115" s="14" t="s">
        <v>1836</v>
      </c>
      <c r="C115" s="14" t="s">
        <v>1837</v>
      </c>
      <c r="D115" s="14" t="s">
        <v>1838</v>
      </c>
      <c r="E115" s="14" t="str">
        <f>"0,6331"</f>
        <v>0,6331</v>
      </c>
      <c r="F115" s="14" t="s">
        <v>1131</v>
      </c>
      <c r="G115" s="15" t="s">
        <v>374</v>
      </c>
      <c r="H115" s="16" t="s">
        <v>420</v>
      </c>
      <c r="I115" s="16" t="s">
        <v>420</v>
      </c>
      <c r="J115" s="17"/>
      <c r="K115" s="15" t="s">
        <v>70</v>
      </c>
      <c r="L115" s="15" t="s">
        <v>71</v>
      </c>
      <c r="M115" s="16" t="s">
        <v>209</v>
      </c>
      <c r="N115" s="17"/>
      <c r="O115" s="16" t="s">
        <v>374</v>
      </c>
      <c r="P115" s="15" t="s">
        <v>374</v>
      </c>
      <c r="Q115" s="17"/>
      <c r="R115" s="17"/>
      <c r="S115" s="40" t="str">
        <f>"530,0"</f>
        <v>530,0</v>
      </c>
      <c r="T115" s="17" t="str">
        <f>"373,7949"</f>
        <v>373,7949</v>
      </c>
      <c r="U115" s="14" t="s">
        <v>158</v>
      </c>
    </row>
    <row r="116" spans="1:21">
      <c r="A116" s="17" t="s">
        <v>92</v>
      </c>
      <c r="B116" s="14" t="s">
        <v>1839</v>
      </c>
      <c r="C116" s="14" t="s">
        <v>1840</v>
      </c>
      <c r="D116" s="14" t="s">
        <v>1201</v>
      </c>
      <c r="E116" s="14" t="str">
        <f>"0,6126"</f>
        <v>0,6126</v>
      </c>
      <c r="F116" s="14" t="s">
        <v>1841</v>
      </c>
      <c r="G116" s="16" t="s">
        <v>420</v>
      </c>
      <c r="H116" s="16" t="s">
        <v>385</v>
      </c>
      <c r="I116" s="16" t="s">
        <v>442</v>
      </c>
      <c r="J116" s="17"/>
      <c r="K116" s="16"/>
      <c r="L116" s="17"/>
      <c r="M116" s="17"/>
      <c r="N116" s="17"/>
      <c r="O116" s="16"/>
      <c r="P116" s="17"/>
      <c r="Q116" s="17"/>
      <c r="R116" s="17"/>
      <c r="S116" s="40">
        <v>0</v>
      </c>
      <c r="T116" s="17" t="str">
        <f>"0,0000"</f>
        <v>0,0000</v>
      </c>
      <c r="U116" s="14" t="s">
        <v>1842</v>
      </c>
    </row>
    <row r="117" spans="1:21">
      <c r="A117" s="20" t="s">
        <v>15</v>
      </c>
      <c r="B117" s="18" t="s">
        <v>1843</v>
      </c>
      <c r="C117" s="18" t="s">
        <v>1844</v>
      </c>
      <c r="D117" s="18" t="s">
        <v>701</v>
      </c>
      <c r="E117" s="18" t="str">
        <f>"0,6155"</f>
        <v>0,6155</v>
      </c>
      <c r="F117" s="18" t="s">
        <v>31</v>
      </c>
      <c r="G117" s="22" t="s">
        <v>398</v>
      </c>
      <c r="H117" s="22" t="s">
        <v>398</v>
      </c>
      <c r="I117" s="19" t="s">
        <v>398</v>
      </c>
      <c r="J117" s="20"/>
      <c r="K117" s="22" t="s">
        <v>70</v>
      </c>
      <c r="L117" s="19" t="s">
        <v>70</v>
      </c>
      <c r="M117" s="19" t="s">
        <v>162</v>
      </c>
      <c r="N117" s="20"/>
      <c r="O117" s="19" t="s">
        <v>374</v>
      </c>
      <c r="P117" s="19" t="s">
        <v>384</v>
      </c>
      <c r="Q117" s="19" t="s">
        <v>420</v>
      </c>
      <c r="R117" s="20"/>
      <c r="S117" s="38" t="str">
        <f>"522,5"</f>
        <v>522,5</v>
      </c>
      <c r="T117" s="20" t="str">
        <f>"493,0109"</f>
        <v>493,0109</v>
      </c>
      <c r="U117" s="18" t="s">
        <v>158</v>
      </c>
    </row>
    <row r="118" spans="1:21">
      <c r="B118" s="5" t="s">
        <v>40</v>
      </c>
    </row>
    <row r="119" spans="1:21" ht="15.95">
      <c r="A119" s="102" t="s">
        <v>724</v>
      </c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</row>
    <row r="120" spans="1:21">
      <c r="A120" s="13" t="s">
        <v>15</v>
      </c>
      <c r="B120" s="11" t="s">
        <v>1845</v>
      </c>
      <c r="C120" s="11" t="s">
        <v>1846</v>
      </c>
      <c r="D120" s="11" t="s">
        <v>1847</v>
      </c>
      <c r="E120" s="11" t="str">
        <f>"0,5956"</f>
        <v>0,5956</v>
      </c>
      <c r="F120" s="11" t="s">
        <v>1451</v>
      </c>
      <c r="G120" s="12" t="s">
        <v>436</v>
      </c>
      <c r="H120" s="12" t="s">
        <v>421</v>
      </c>
      <c r="I120" s="12" t="s">
        <v>627</v>
      </c>
      <c r="J120" s="13"/>
      <c r="K120" s="12" t="s">
        <v>152</v>
      </c>
      <c r="L120" s="12" t="s">
        <v>550</v>
      </c>
      <c r="M120" s="21" t="s">
        <v>398</v>
      </c>
      <c r="N120" s="13"/>
      <c r="O120" s="12" t="s">
        <v>640</v>
      </c>
      <c r="P120" s="21" t="s">
        <v>745</v>
      </c>
      <c r="Q120" s="12" t="s">
        <v>804</v>
      </c>
      <c r="R120" s="13"/>
      <c r="S120" s="37" t="str">
        <f>"717,5"</f>
        <v>717,5</v>
      </c>
      <c r="T120" s="13" t="str">
        <f>"427,3430"</f>
        <v>427,3430</v>
      </c>
      <c r="U120" s="11" t="s">
        <v>1848</v>
      </c>
    </row>
    <row r="121" spans="1:21">
      <c r="A121" s="17" t="s">
        <v>15</v>
      </c>
      <c r="B121" s="14" t="s">
        <v>1849</v>
      </c>
      <c r="C121" s="14" t="s">
        <v>1850</v>
      </c>
      <c r="D121" s="14" t="s">
        <v>1851</v>
      </c>
      <c r="E121" s="14" t="str">
        <f>"0,5950"</f>
        <v>0,5950</v>
      </c>
      <c r="F121" s="14" t="s">
        <v>91</v>
      </c>
      <c r="G121" s="16" t="s">
        <v>853</v>
      </c>
      <c r="H121" s="15" t="s">
        <v>1292</v>
      </c>
      <c r="I121" s="15" t="s">
        <v>1339</v>
      </c>
      <c r="J121" s="17"/>
      <c r="K121" s="15" t="s">
        <v>392</v>
      </c>
      <c r="L121" s="15" t="s">
        <v>374</v>
      </c>
      <c r="M121" s="15" t="s">
        <v>399</v>
      </c>
      <c r="N121" s="17"/>
      <c r="O121" s="16" t="s">
        <v>1141</v>
      </c>
      <c r="P121" s="15" t="s">
        <v>1141</v>
      </c>
      <c r="Q121" s="15" t="s">
        <v>845</v>
      </c>
      <c r="R121" s="17"/>
      <c r="S121" s="40" t="str">
        <f>"952,5"</f>
        <v>952,5</v>
      </c>
      <c r="T121" s="17" t="str">
        <f>"566,7375"</f>
        <v>566,7375</v>
      </c>
      <c r="U121" s="14" t="s">
        <v>1852</v>
      </c>
    </row>
    <row r="122" spans="1:21">
      <c r="A122" s="17" t="s">
        <v>62</v>
      </c>
      <c r="B122" s="14" t="s">
        <v>1853</v>
      </c>
      <c r="C122" s="14" t="s">
        <v>1854</v>
      </c>
      <c r="D122" s="14" t="s">
        <v>1855</v>
      </c>
      <c r="E122" s="14" t="str">
        <f>"0,5898"</f>
        <v>0,5898</v>
      </c>
      <c r="F122" s="14" t="s">
        <v>232</v>
      </c>
      <c r="G122" s="16" t="s">
        <v>842</v>
      </c>
      <c r="H122" s="15" t="s">
        <v>842</v>
      </c>
      <c r="I122" s="15" t="s">
        <v>1142</v>
      </c>
      <c r="J122" s="17"/>
      <c r="K122" s="15" t="s">
        <v>399</v>
      </c>
      <c r="L122" s="15" t="s">
        <v>436</v>
      </c>
      <c r="M122" s="15" t="s">
        <v>420</v>
      </c>
      <c r="N122" s="17"/>
      <c r="O122" s="15" t="s">
        <v>754</v>
      </c>
      <c r="P122" s="15" t="s">
        <v>822</v>
      </c>
      <c r="Q122" s="16" t="s">
        <v>1005</v>
      </c>
      <c r="R122" s="17"/>
      <c r="S122" s="40" t="str">
        <f>"870,0"</f>
        <v>870,0</v>
      </c>
      <c r="T122" s="17" t="str">
        <f>"513,1260"</f>
        <v>513,1260</v>
      </c>
      <c r="U122" s="14" t="s">
        <v>1601</v>
      </c>
    </row>
    <row r="123" spans="1:21">
      <c r="A123" s="17" t="s">
        <v>73</v>
      </c>
      <c r="B123" s="14" t="s">
        <v>1856</v>
      </c>
      <c r="C123" s="14" t="s">
        <v>1857</v>
      </c>
      <c r="D123" s="14" t="s">
        <v>1858</v>
      </c>
      <c r="E123" s="14" t="str">
        <f>"0,5933"</f>
        <v>0,5933</v>
      </c>
      <c r="F123" s="14" t="s">
        <v>1859</v>
      </c>
      <c r="G123" s="15" t="s">
        <v>1043</v>
      </c>
      <c r="H123" s="16" t="s">
        <v>1151</v>
      </c>
      <c r="I123" s="15" t="s">
        <v>1151</v>
      </c>
      <c r="J123" s="17"/>
      <c r="K123" s="15" t="s">
        <v>384</v>
      </c>
      <c r="L123" s="15" t="s">
        <v>420</v>
      </c>
      <c r="M123" s="15" t="s">
        <v>421</v>
      </c>
      <c r="N123" s="17"/>
      <c r="O123" s="16" t="s">
        <v>738</v>
      </c>
      <c r="P123" s="15" t="s">
        <v>738</v>
      </c>
      <c r="Q123" s="16" t="s">
        <v>804</v>
      </c>
      <c r="R123" s="17"/>
      <c r="S123" s="40" t="str">
        <f>"840,0"</f>
        <v>840,0</v>
      </c>
      <c r="T123" s="17" t="str">
        <f>"498,3720"</f>
        <v>498,3720</v>
      </c>
      <c r="U123" s="14" t="s">
        <v>158</v>
      </c>
    </row>
    <row r="124" spans="1:21">
      <c r="A124" s="17" t="s">
        <v>75</v>
      </c>
      <c r="B124" s="14" t="s">
        <v>1860</v>
      </c>
      <c r="C124" s="14" t="s">
        <v>1861</v>
      </c>
      <c r="D124" s="14" t="s">
        <v>1862</v>
      </c>
      <c r="E124" s="14" t="str">
        <f>"0,5980"</f>
        <v>0,5980</v>
      </c>
      <c r="F124" s="14" t="s">
        <v>1863</v>
      </c>
      <c r="G124" s="15" t="s">
        <v>1005</v>
      </c>
      <c r="H124" s="16" t="s">
        <v>1043</v>
      </c>
      <c r="I124" s="15" t="s">
        <v>1043</v>
      </c>
      <c r="J124" s="17"/>
      <c r="K124" s="15" t="s">
        <v>452</v>
      </c>
      <c r="L124" s="15" t="s">
        <v>458</v>
      </c>
      <c r="M124" s="15" t="s">
        <v>453</v>
      </c>
      <c r="N124" s="17"/>
      <c r="O124" s="15" t="s">
        <v>822</v>
      </c>
      <c r="P124" s="16" t="s">
        <v>1043</v>
      </c>
      <c r="Q124" s="15" t="s">
        <v>1043</v>
      </c>
      <c r="R124" s="17"/>
      <c r="S124" s="40" t="str">
        <f>"807,5"</f>
        <v>807,5</v>
      </c>
      <c r="T124" s="17" t="str">
        <f>"482,8850"</f>
        <v>482,8850</v>
      </c>
      <c r="U124" s="14" t="s">
        <v>158</v>
      </c>
    </row>
    <row r="125" spans="1:21">
      <c r="A125" s="17" t="s">
        <v>87</v>
      </c>
      <c r="B125" s="14" t="s">
        <v>1864</v>
      </c>
      <c r="C125" s="14" t="s">
        <v>1865</v>
      </c>
      <c r="D125" s="14" t="s">
        <v>1858</v>
      </c>
      <c r="E125" s="14" t="str">
        <f>"0,5933"</f>
        <v>0,5933</v>
      </c>
      <c r="F125" s="14" t="s">
        <v>1866</v>
      </c>
      <c r="G125" s="15" t="s">
        <v>1043</v>
      </c>
      <c r="H125" s="15" t="s">
        <v>839</v>
      </c>
      <c r="I125" s="16" t="s">
        <v>1087</v>
      </c>
      <c r="J125" s="17"/>
      <c r="K125" s="15" t="s">
        <v>458</v>
      </c>
      <c r="L125" s="16" t="s">
        <v>392</v>
      </c>
      <c r="M125" s="16" t="s">
        <v>392</v>
      </c>
      <c r="N125" s="17"/>
      <c r="O125" s="15" t="s">
        <v>804</v>
      </c>
      <c r="P125" s="16" t="s">
        <v>1078</v>
      </c>
      <c r="Q125" s="16" t="s">
        <v>1078</v>
      </c>
      <c r="R125" s="17"/>
      <c r="S125" s="40" t="str">
        <f>"807,5"</f>
        <v>807,5</v>
      </c>
      <c r="T125" s="17" t="str">
        <f>"479,0897"</f>
        <v>479,0897</v>
      </c>
      <c r="U125" s="14" t="s">
        <v>158</v>
      </c>
    </row>
    <row r="126" spans="1:21">
      <c r="A126" s="17" t="s">
        <v>168</v>
      </c>
      <c r="B126" s="14" t="s">
        <v>1867</v>
      </c>
      <c r="C126" s="14" t="s">
        <v>1868</v>
      </c>
      <c r="D126" s="14" t="s">
        <v>1869</v>
      </c>
      <c r="E126" s="14" t="str">
        <f>"0,5990"</f>
        <v>0,5990</v>
      </c>
      <c r="F126" s="14" t="s">
        <v>1870</v>
      </c>
      <c r="G126" s="16" t="s">
        <v>1005</v>
      </c>
      <c r="H126" s="15" t="s">
        <v>1078</v>
      </c>
      <c r="I126" s="15" t="s">
        <v>1151</v>
      </c>
      <c r="J126" s="17"/>
      <c r="K126" s="15" t="s">
        <v>60</v>
      </c>
      <c r="L126" s="16" t="s">
        <v>347</v>
      </c>
      <c r="M126" s="16" t="s">
        <v>351</v>
      </c>
      <c r="N126" s="17"/>
      <c r="O126" s="15" t="s">
        <v>1078</v>
      </c>
      <c r="P126" s="16" t="s">
        <v>1087</v>
      </c>
      <c r="Q126" s="16" t="s">
        <v>1087</v>
      </c>
      <c r="R126" s="17"/>
      <c r="S126" s="40" t="str">
        <f>"795,0"</f>
        <v>795,0</v>
      </c>
      <c r="T126" s="17" t="str">
        <f>"476,2050"</f>
        <v>476,2050</v>
      </c>
      <c r="U126" s="14" t="s">
        <v>1871</v>
      </c>
    </row>
    <row r="127" spans="1:21">
      <c r="A127" s="17" t="s">
        <v>172</v>
      </c>
      <c r="B127" s="14" t="s">
        <v>1872</v>
      </c>
      <c r="C127" s="14" t="s">
        <v>1873</v>
      </c>
      <c r="D127" s="14" t="s">
        <v>1874</v>
      </c>
      <c r="E127" s="14" t="str">
        <f>"0,5903"</f>
        <v>0,5903</v>
      </c>
      <c r="F127" s="14" t="s">
        <v>1487</v>
      </c>
      <c r="G127" s="16" t="s">
        <v>422</v>
      </c>
      <c r="H127" s="15" t="s">
        <v>490</v>
      </c>
      <c r="I127" s="16" t="s">
        <v>523</v>
      </c>
      <c r="J127" s="17"/>
      <c r="K127" s="15" t="s">
        <v>60</v>
      </c>
      <c r="L127" s="16" t="s">
        <v>151</v>
      </c>
      <c r="M127" s="16" t="s">
        <v>151</v>
      </c>
      <c r="N127" s="17"/>
      <c r="O127" s="15" t="s">
        <v>490</v>
      </c>
      <c r="P127" s="15" t="s">
        <v>523</v>
      </c>
      <c r="Q127" s="16" t="s">
        <v>640</v>
      </c>
      <c r="R127" s="17"/>
      <c r="S127" s="40" t="str">
        <f>"660,0"</f>
        <v>660,0</v>
      </c>
      <c r="T127" s="17" t="str">
        <f>"389,5980"</f>
        <v>389,5980</v>
      </c>
      <c r="U127" s="14" t="s">
        <v>158</v>
      </c>
    </row>
    <row r="128" spans="1:21">
      <c r="A128" s="17" t="s">
        <v>92</v>
      </c>
      <c r="B128" s="14" t="s">
        <v>1875</v>
      </c>
      <c r="C128" s="14" t="s">
        <v>1876</v>
      </c>
      <c r="D128" s="14" t="s">
        <v>1877</v>
      </c>
      <c r="E128" s="14" t="str">
        <f>"0,6037"</f>
        <v>0,6037</v>
      </c>
      <c r="F128" s="14" t="s">
        <v>1878</v>
      </c>
      <c r="G128" s="16" t="s">
        <v>822</v>
      </c>
      <c r="H128" s="15" t="s">
        <v>822</v>
      </c>
      <c r="I128" s="16" t="s">
        <v>1030</v>
      </c>
      <c r="J128" s="17"/>
      <c r="K128" s="16" t="s">
        <v>151</v>
      </c>
      <c r="L128" s="16" t="s">
        <v>151</v>
      </c>
      <c r="M128" s="16" t="s">
        <v>151</v>
      </c>
      <c r="N128" s="17"/>
      <c r="O128" s="16"/>
      <c r="P128" s="17"/>
      <c r="Q128" s="17"/>
      <c r="R128" s="17"/>
      <c r="S128" s="40">
        <v>0</v>
      </c>
      <c r="T128" s="17" t="str">
        <f>"0,0000"</f>
        <v>0,0000</v>
      </c>
      <c r="U128" s="14" t="s">
        <v>158</v>
      </c>
    </row>
    <row r="129" spans="1:21">
      <c r="A129" s="17" t="s">
        <v>92</v>
      </c>
      <c r="B129" s="14" t="s">
        <v>1879</v>
      </c>
      <c r="C129" s="14" t="s">
        <v>1880</v>
      </c>
      <c r="D129" s="14" t="s">
        <v>1881</v>
      </c>
      <c r="E129" s="14" t="str">
        <f>"0,5976"</f>
        <v>0,5976</v>
      </c>
      <c r="F129" s="14" t="s">
        <v>1882</v>
      </c>
      <c r="G129" s="15" t="s">
        <v>1086</v>
      </c>
      <c r="H129" s="16" t="s">
        <v>1087</v>
      </c>
      <c r="I129" s="16" t="s">
        <v>853</v>
      </c>
      <c r="J129" s="17"/>
      <c r="K129" s="15" t="s">
        <v>398</v>
      </c>
      <c r="L129" s="17"/>
      <c r="M129" s="17"/>
      <c r="N129" s="17"/>
      <c r="O129" s="16" t="s">
        <v>1151</v>
      </c>
      <c r="P129" s="16" t="s">
        <v>1151</v>
      </c>
      <c r="Q129" s="16" t="s">
        <v>1151</v>
      </c>
      <c r="R129" s="17"/>
      <c r="S129" s="40">
        <v>0</v>
      </c>
      <c r="T129" s="17" t="str">
        <f>"0,0000"</f>
        <v>0,0000</v>
      </c>
      <c r="U129" s="14" t="s">
        <v>158</v>
      </c>
    </row>
    <row r="130" spans="1:21">
      <c r="A130" s="17" t="s">
        <v>92</v>
      </c>
      <c r="B130" s="14" t="s">
        <v>1883</v>
      </c>
      <c r="C130" s="14" t="s">
        <v>1884</v>
      </c>
      <c r="D130" s="14" t="s">
        <v>1885</v>
      </c>
      <c r="E130" s="14" t="str">
        <f>"0,5960"</f>
        <v>0,5960</v>
      </c>
      <c r="F130" s="14" t="s">
        <v>1448</v>
      </c>
      <c r="G130" s="16" t="s">
        <v>640</v>
      </c>
      <c r="H130" s="15" t="s">
        <v>640</v>
      </c>
      <c r="I130" s="16" t="s">
        <v>804</v>
      </c>
      <c r="J130" s="17"/>
      <c r="K130" s="15" t="s">
        <v>398</v>
      </c>
      <c r="L130" s="16" t="s">
        <v>374</v>
      </c>
      <c r="M130" s="16" t="s">
        <v>374</v>
      </c>
      <c r="N130" s="17"/>
      <c r="O130" s="16" t="s">
        <v>490</v>
      </c>
      <c r="P130" s="16" t="s">
        <v>640</v>
      </c>
      <c r="Q130" s="16" t="s">
        <v>640</v>
      </c>
      <c r="R130" s="17"/>
      <c r="S130" s="40">
        <v>0</v>
      </c>
      <c r="T130" s="17" t="str">
        <f>"0,0000"</f>
        <v>0,0000</v>
      </c>
      <c r="U130" s="14" t="s">
        <v>158</v>
      </c>
    </row>
    <row r="131" spans="1:21">
      <c r="A131" s="17" t="s">
        <v>92</v>
      </c>
      <c r="B131" s="14" t="s">
        <v>1886</v>
      </c>
      <c r="C131" s="14" t="s">
        <v>1887</v>
      </c>
      <c r="D131" s="14" t="s">
        <v>1888</v>
      </c>
      <c r="E131" s="14" t="str">
        <f>"0,5945"</f>
        <v>0,5945</v>
      </c>
      <c r="F131" s="14" t="s">
        <v>1889</v>
      </c>
      <c r="G131" s="16" t="s">
        <v>640</v>
      </c>
      <c r="H131" s="15" t="s">
        <v>822</v>
      </c>
      <c r="I131" s="16" t="s">
        <v>804</v>
      </c>
      <c r="J131" s="17"/>
      <c r="K131" s="16" t="s">
        <v>398</v>
      </c>
      <c r="L131" s="16" t="s">
        <v>392</v>
      </c>
      <c r="M131" s="16" t="s">
        <v>392</v>
      </c>
      <c r="N131" s="17"/>
      <c r="O131" s="17"/>
      <c r="P131" s="17"/>
      <c r="Q131" s="17"/>
      <c r="R131" s="17"/>
      <c r="S131" s="40">
        <v>0</v>
      </c>
      <c r="T131" s="17" t="str">
        <f>"0,0000"</f>
        <v>0,0000</v>
      </c>
      <c r="U131" s="14" t="s">
        <v>158</v>
      </c>
    </row>
    <row r="132" spans="1:21">
      <c r="A132" s="17" t="s">
        <v>92</v>
      </c>
      <c r="B132" s="14" t="s">
        <v>1890</v>
      </c>
      <c r="C132" s="14" t="s">
        <v>1891</v>
      </c>
      <c r="D132" s="14" t="s">
        <v>779</v>
      </c>
      <c r="E132" s="14" t="str">
        <f>"0,5919"</f>
        <v>0,5919</v>
      </c>
      <c r="F132" s="14" t="s">
        <v>1892</v>
      </c>
      <c r="G132" s="16" t="s">
        <v>640</v>
      </c>
      <c r="H132" s="16" t="s">
        <v>754</v>
      </c>
      <c r="I132" s="15" t="s">
        <v>754</v>
      </c>
      <c r="J132" s="17"/>
      <c r="K132" s="15" t="s">
        <v>351</v>
      </c>
      <c r="L132" s="16" t="s">
        <v>368</v>
      </c>
      <c r="M132" s="16" t="s">
        <v>368</v>
      </c>
      <c r="N132" s="17"/>
      <c r="O132" s="16" t="s">
        <v>1043</v>
      </c>
      <c r="P132" s="16" t="s">
        <v>1043</v>
      </c>
      <c r="Q132" s="16" t="s">
        <v>1078</v>
      </c>
      <c r="R132" s="17"/>
      <c r="S132" s="40">
        <v>0</v>
      </c>
      <c r="T132" s="17" t="str">
        <f>"0,0000"</f>
        <v>0,0000</v>
      </c>
      <c r="U132" s="14" t="s">
        <v>158</v>
      </c>
    </row>
    <row r="133" spans="1:21">
      <c r="A133" s="17" t="s">
        <v>15</v>
      </c>
      <c r="B133" s="14" t="s">
        <v>1893</v>
      </c>
      <c r="C133" s="14" t="s">
        <v>1894</v>
      </c>
      <c r="D133" s="14" t="s">
        <v>776</v>
      </c>
      <c r="E133" s="14" t="str">
        <f>"0,5910"</f>
        <v>0,5910</v>
      </c>
      <c r="F133" s="14" t="s">
        <v>91</v>
      </c>
      <c r="G133" s="15" t="s">
        <v>640</v>
      </c>
      <c r="H133" s="16" t="s">
        <v>822</v>
      </c>
      <c r="I133" s="16" t="s">
        <v>822</v>
      </c>
      <c r="J133" s="17"/>
      <c r="K133" s="15" t="s">
        <v>436</v>
      </c>
      <c r="L133" s="16" t="s">
        <v>420</v>
      </c>
      <c r="M133" s="16" t="s">
        <v>420</v>
      </c>
      <c r="N133" s="17"/>
      <c r="O133" s="15" t="s">
        <v>640</v>
      </c>
      <c r="P133" s="15" t="s">
        <v>745</v>
      </c>
      <c r="Q133" s="15" t="s">
        <v>1005</v>
      </c>
      <c r="R133" s="17"/>
      <c r="S133" s="40" t="str">
        <f>"780,0"</f>
        <v>780,0</v>
      </c>
      <c r="T133" s="17" t="str">
        <f>"460,9800"</f>
        <v>460,9800</v>
      </c>
      <c r="U133" s="14" t="s">
        <v>158</v>
      </c>
    </row>
    <row r="134" spans="1:21">
      <c r="A134" s="20" t="s">
        <v>62</v>
      </c>
      <c r="B134" s="18" t="s">
        <v>1895</v>
      </c>
      <c r="C134" s="18" t="s">
        <v>1896</v>
      </c>
      <c r="D134" s="18" t="s">
        <v>1217</v>
      </c>
      <c r="E134" s="18" t="str">
        <f>"0,5930"</f>
        <v>0,5930</v>
      </c>
      <c r="F134" s="18" t="s">
        <v>1897</v>
      </c>
      <c r="G134" s="19" t="s">
        <v>490</v>
      </c>
      <c r="H134" s="19" t="s">
        <v>640</v>
      </c>
      <c r="I134" s="19" t="s">
        <v>738</v>
      </c>
      <c r="J134" s="20"/>
      <c r="K134" s="22" t="s">
        <v>454</v>
      </c>
      <c r="L134" s="19" t="s">
        <v>454</v>
      </c>
      <c r="M134" s="19" t="s">
        <v>374</v>
      </c>
      <c r="N134" s="20"/>
      <c r="O134" s="19" t="s">
        <v>421</v>
      </c>
      <c r="P134" s="22" t="s">
        <v>422</v>
      </c>
      <c r="Q134" s="20"/>
      <c r="R134" s="20"/>
      <c r="S134" s="38" t="str">
        <f>"710,0"</f>
        <v>710,0</v>
      </c>
      <c r="T134" s="20" t="str">
        <f>"423,1351"</f>
        <v>423,1351</v>
      </c>
      <c r="U134" s="18" t="s">
        <v>158</v>
      </c>
    </row>
    <row r="135" spans="1:21">
      <c r="B135" s="5" t="s">
        <v>40</v>
      </c>
    </row>
    <row r="136" spans="1:21" ht="15.95">
      <c r="A136" s="102" t="s">
        <v>783</v>
      </c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</row>
    <row r="137" spans="1:21">
      <c r="A137" s="13" t="s">
        <v>15</v>
      </c>
      <c r="B137" s="11" t="s">
        <v>1898</v>
      </c>
      <c r="C137" s="11" t="s">
        <v>1899</v>
      </c>
      <c r="D137" s="11" t="s">
        <v>1295</v>
      </c>
      <c r="E137" s="11" t="str">
        <f>"0,5698"</f>
        <v>0,5698</v>
      </c>
      <c r="F137" s="11" t="s">
        <v>728</v>
      </c>
      <c r="G137" s="12" t="s">
        <v>422</v>
      </c>
      <c r="H137" s="12" t="s">
        <v>529</v>
      </c>
      <c r="I137" s="12" t="s">
        <v>640</v>
      </c>
      <c r="J137" s="13"/>
      <c r="K137" s="12" t="s">
        <v>209</v>
      </c>
      <c r="L137" s="21" t="s">
        <v>59</v>
      </c>
      <c r="M137" s="21" t="s">
        <v>60</v>
      </c>
      <c r="N137" s="13"/>
      <c r="O137" s="12" t="s">
        <v>399</v>
      </c>
      <c r="P137" s="12" t="s">
        <v>420</v>
      </c>
      <c r="Q137" s="12" t="s">
        <v>421</v>
      </c>
      <c r="R137" s="13"/>
      <c r="S137" s="37" t="str">
        <f>"635,0"</f>
        <v>635,0</v>
      </c>
      <c r="T137" s="13" t="str">
        <f>"361,8230"</f>
        <v>361,8230</v>
      </c>
      <c r="U137" s="11" t="s">
        <v>1900</v>
      </c>
    </row>
    <row r="138" spans="1:21">
      <c r="A138" s="17" t="s">
        <v>92</v>
      </c>
      <c r="B138" s="14" t="s">
        <v>1901</v>
      </c>
      <c r="C138" s="14" t="s">
        <v>1902</v>
      </c>
      <c r="D138" s="14" t="s">
        <v>1903</v>
      </c>
      <c r="E138" s="14" t="str">
        <f>"0,5872"</f>
        <v>0,5872</v>
      </c>
      <c r="F138" s="14" t="s">
        <v>961</v>
      </c>
      <c r="G138" s="15" t="s">
        <v>436</v>
      </c>
      <c r="H138" s="16" t="s">
        <v>421</v>
      </c>
      <c r="I138" s="15" t="s">
        <v>422</v>
      </c>
      <c r="J138" s="17"/>
      <c r="K138" s="16" t="s">
        <v>60</v>
      </c>
      <c r="L138" s="16" t="s">
        <v>60</v>
      </c>
      <c r="M138" s="16" t="s">
        <v>60</v>
      </c>
      <c r="N138" s="17"/>
      <c r="O138" s="16"/>
      <c r="P138" s="17"/>
      <c r="Q138" s="17"/>
      <c r="R138" s="17"/>
      <c r="S138" s="40">
        <v>0</v>
      </c>
      <c r="T138" s="17" t="str">
        <f>"0,0000"</f>
        <v>0,0000</v>
      </c>
      <c r="U138" s="14" t="s">
        <v>158</v>
      </c>
    </row>
    <row r="139" spans="1:21">
      <c r="A139" s="17" t="s">
        <v>15</v>
      </c>
      <c r="B139" s="14" t="s">
        <v>1904</v>
      </c>
      <c r="C139" s="14" t="s">
        <v>1905</v>
      </c>
      <c r="D139" s="14" t="s">
        <v>1286</v>
      </c>
      <c r="E139" s="14" t="str">
        <f>"0,5737"</f>
        <v>0,5737</v>
      </c>
      <c r="F139" s="14" t="s">
        <v>119</v>
      </c>
      <c r="G139" s="15" t="s">
        <v>842</v>
      </c>
      <c r="H139" s="16" t="s">
        <v>1229</v>
      </c>
      <c r="I139" s="16" t="s">
        <v>1229</v>
      </c>
      <c r="J139" s="17"/>
      <c r="K139" s="15" t="s">
        <v>374</v>
      </c>
      <c r="L139" s="16" t="s">
        <v>384</v>
      </c>
      <c r="M139" s="15" t="s">
        <v>420</v>
      </c>
      <c r="N139" s="17"/>
      <c r="O139" s="15" t="s">
        <v>738</v>
      </c>
      <c r="P139" s="16" t="s">
        <v>804</v>
      </c>
      <c r="Q139" s="16" t="s">
        <v>804</v>
      </c>
      <c r="R139" s="17"/>
      <c r="S139" s="40" t="str">
        <f>"840,0"</f>
        <v>840,0</v>
      </c>
      <c r="T139" s="17" t="str">
        <f>"481,9080"</f>
        <v>481,9080</v>
      </c>
      <c r="U139" s="14" t="s">
        <v>158</v>
      </c>
    </row>
    <row r="140" spans="1:21" ht="12.75">
      <c r="A140" s="17" t="s">
        <v>15</v>
      </c>
      <c r="B140" s="14" t="s">
        <v>1906</v>
      </c>
      <c r="C140" s="14" t="s">
        <v>1907</v>
      </c>
      <c r="D140" s="14" t="s">
        <v>1908</v>
      </c>
      <c r="E140" s="14" t="str">
        <f>"0,5701"</f>
        <v>0,5701</v>
      </c>
      <c r="F140" s="14" t="s">
        <v>176</v>
      </c>
      <c r="G140" s="16" t="s">
        <v>1909</v>
      </c>
      <c r="H140" s="16" t="s">
        <v>1909</v>
      </c>
      <c r="I140" s="15" t="s">
        <v>1909</v>
      </c>
      <c r="J140" s="17"/>
      <c r="K140" s="15" t="s">
        <v>459</v>
      </c>
      <c r="L140" s="16" t="s">
        <v>627</v>
      </c>
      <c r="M140" s="15" t="s">
        <v>627</v>
      </c>
      <c r="N140" s="17"/>
      <c r="O140" s="15" t="s">
        <v>1043</v>
      </c>
      <c r="P140" s="15" t="s">
        <v>839</v>
      </c>
      <c r="Q140" s="15" t="s">
        <v>1087</v>
      </c>
      <c r="R140" s="17"/>
      <c r="S140" s="40" t="str">
        <f>"960,0"</f>
        <v>960,0</v>
      </c>
      <c r="T140" s="17" t="str">
        <f>"547,2960"</f>
        <v>547,2960</v>
      </c>
      <c r="U140" s="14" t="s">
        <v>1910</v>
      </c>
    </row>
    <row r="141" spans="1:21">
      <c r="A141" s="17" t="s">
        <v>62</v>
      </c>
      <c r="B141" s="14" t="s">
        <v>1911</v>
      </c>
      <c r="C141" s="14" t="s">
        <v>1912</v>
      </c>
      <c r="D141" s="14" t="s">
        <v>1913</v>
      </c>
      <c r="E141" s="14" t="str">
        <f>"0,5786"</f>
        <v>0,5786</v>
      </c>
      <c r="F141" s="14" t="s">
        <v>594</v>
      </c>
      <c r="G141" s="15" t="s">
        <v>1043</v>
      </c>
      <c r="H141" s="16" t="s">
        <v>842</v>
      </c>
      <c r="I141" s="15" t="s">
        <v>842</v>
      </c>
      <c r="J141" s="17"/>
      <c r="K141" s="15" t="s">
        <v>422</v>
      </c>
      <c r="L141" s="15" t="s">
        <v>490</v>
      </c>
      <c r="M141" s="16" t="s">
        <v>529</v>
      </c>
      <c r="N141" s="17"/>
      <c r="O141" s="15" t="s">
        <v>529</v>
      </c>
      <c r="P141" s="15" t="s">
        <v>754</v>
      </c>
      <c r="Q141" s="15" t="s">
        <v>822</v>
      </c>
      <c r="R141" s="17"/>
      <c r="S141" s="40" t="str">
        <f>"880,0"</f>
        <v>880,0</v>
      </c>
      <c r="T141" s="17" t="str">
        <f>"509,1680"</f>
        <v>509,1680</v>
      </c>
      <c r="U141" s="14" t="s">
        <v>158</v>
      </c>
    </row>
    <row r="142" spans="1:21">
      <c r="A142" s="17" t="s">
        <v>73</v>
      </c>
      <c r="B142" s="14" t="s">
        <v>1914</v>
      </c>
      <c r="C142" s="14" t="s">
        <v>1915</v>
      </c>
      <c r="D142" s="14" t="s">
        <v>1916</v>
      </c>
      <c r="E142" s="14" t="str">
        <f>"0,5759"</f>
        <v>0,5759</v>
      </c>
      <c r="F142" s="14" t="s">
        <v>1917</v>
      </c>
      <c r="G142" s="15" t="s">
        <v>1151</v>
      </c>
      <c r="H142" s="15" t="s">
        <v>1229</v>
      </c>
      <c r="I142" s="16" t="s">
        <v>1142</v>
      </c>
      <c r="J142" s="17"/>
      <c r="K142" s="15" t="s">
        <v>374</v>
      </c>
      <c r="L142" s="15" t="s">
        <v>384</v>
      </c>
      <c r="M142" s="15" t="s">
        <v>436</v>
      </c>
      <c r="N142" s="17"/>
      <c r="O142" s="15" t="s">
        <v>822</v>
      </c>
      <c r="P142" s="15" t="s">
        <v>1030</v>
      </c>
      <c r="Q142" s="15" t="s">
        <v>1078</v>
      </c>
      <c r="R142" s="17"/>
      <c r="S142" s="40" t="str">
        <f>"880,0"</f>
        <v>880,0</v>
      </c>
      <c r="T142" s="17" t="str">
        <f>"506,7920"</f>
        <v>506,7920</v>
      </c>
      <c r="U142" s="14" t="s">
        <v>1918</v>
      </c>
    </row>
    <row r="143" spans="1:21">
      <c r="A143" s="17" t="s">
        <v>75</v>
      </c>
      <c r="B143" s="14" t="s">
        <v>1919</v>
      </c>
      <c r="C143" s="14" t="s">
        <v>1920</v>
      </c>
      <c r="D143" s="14" t="s">
        <v>1921</v>
      </c>
      <c r="E143" s="14" t="str">
        <f>"0,5704"</f>
        <v>0,5704</v>
      </c>
      <c r="F143" s="14" t="s">
        <v>1922</v>
      </c>
      <c r="G143" s="15" t="s">
        <v>804</v>
      </c>
      <c r="H143" s="16" t="s">
        <v>1086</v>
      </c>
      <c r="I143" s="15" t="s">
        <v>1151</v>
      </c>
      <c r="J143" s="17"/>
      <c r="K143" s="16" t="s">
        <v>420</v>
      </c>
      <c r="L143" s="15" t="s">
        <v>421</v>
      </c>
      <c r="M143" s="16" t="s">
        <v>422</v>
      </c>
      <c r="N143" s="17"/>
      <c r="O143" s="15" t="s">
        <v>738</v>
      </c>
      <c r="P143" s="15" t="s">
        <v>804</v>
      </c>
      <c r="Q143" s="15" t="s">
        <v>1711</v>
      </c>
      <c r="R143" s="17"/>
      <c r="S143" s="40" t="str">
        <f>"877,5"</f>
        <v>877,5</v>
      </c>
      <c r="T143" s="17" t="str">
        <f>"500,5260"</f>
        <v>500,5260</v>
      </c>
      <c r="U143" s="14" t="s">
        <v>1923</v>
      </c>
    </row>
    <row r="144" spans="1:21">
      <c r="A144" s="17" t="s">
        <v>87</v>
      </c>
      <c r="B144" s="14" t="s">
        <v>1924</v>
      </c>
      <c r="C144" s="14" t="s">
        <v>1925</v>
      </c>
      <c r="D144" s="14" t="s">
        <v>1926</v>
      </c>
      <c r="E144" s="14" t="str">
        <f>"0,5787"</f>
        <v>0,5787</v>
      </c>
      <c r="F144" s="14" t="s">
        <v>1927</v>
      </c>
      <c r="G144" s="16" t="s">
        <v>804</v>
      </c>
      <c r="H144" s="15" t="s">
        <v>804</v>
      </c>
      <c r="I144" s="15" t="s">
        <v>1086</v>
      </c>
      <c r="J144" s="17"/>
      <c r="K144" s="15" t="s">
        <v>384</v>
      </c>
      <c r="L144" s="15" t="s">
        <v>420</v>
      </c>
      <c r="M144" s="16" t="s">
        <v>421</v>
      </c>
      <c r="N144" s="17"/>
      <c r="O144" s="15" t="s">
        <v>1078</v>
      </c>
      <c r="P144" s="15" t="s">
        <v>1151</v>
      </c>
      <c r="Q144" s="16" t="s">
        <v>1928</v>
      </c>
      <c r="R144" s="17"/>
      <c r="S144" s="40" t="str">
        <f>"870,0"</f>
        <v>870,0</v>
      </c>
      <c r="T144" s="17" t="str">
        <f>"503,4690"</f>
        <v>503,4690</v>
      </c>
      <c r="U144" s="14" t="s">
        <v>896</v>
      </c>
    </row>
    <row r="145" spans="1:21">
      <c r="A145" s="17" t="s">
        <v>168</v>
      </c>
      <c r="B145" s="14" t="s">
        <v>1929</v>
      </c>
      <c r="C145" s="14" t="s">
        <v>1930</v>
      </c>
      <c r="D145" s="14" t="s">
        <v>1931</v>
      </c>
      <c r="E145" s="14" t="str">
        <f>"0,5742"</f>
        <v>0,5742</v>
      </c>
      <c r="F145" s="14" t="s">
        <v>1932</v>
      </c>
      <c r="G145" s="15" t="s">
        <v>839</v>
      </c>
      <c r="H145" s="16" t="s">
        <v>1292</v>
      </c>
      <c r="I145" s="16" t="s">
        <v>1292</v>
      </c>
      <c r="J145" s="17"/>
      <c r="K145" s="15" t="s">
        <v>399</v>
      </c>
      <c r="L145" s="15" t="s">
        <v>441</v>
      </c>
      <c r="M145" s="15" t="s">
        <v>507</v>
      </c>
      <c r="N145" s="17"/>
      <c r="O145" s="15" t="s">
        <v>804</v>
      </c>
      <c r="P145" s="15" t="s">
        <v>1078</v>
      </c>
      <c r="Q145" s="16" t="s">
        <v>805</v>
      </c>
      <c r="R145" s="17"/>
      <c r="S145" s="40" t="str">
        <f>"867,5"</f>
        <v>867,5</v>
      </c>
      <c r="T145" s="17" t="str">
        <f>"498,1185"</f>
        <v>498,1185</v>
      </c>
      <c r="U145" s="14" t="s">
        <v>158</v>
      </c>
    </row>
    <row r="146" spans="1:21">
      <c r="A146" s="17" t="s">
        <v>172</v>
      </c>
      <c r="B146" s="14" t="s">
        <v>1933</v>
      </c>
      <c r="C146" s="14" t="s">
        <v>1934</v>
      </c>
      <c r="D146" s="14" t="s">
        <v>1935</v>
      </c>
      <c r="E146" s="14" t="str">
        <f>"0,5732"</f>
        <v>0,5732</v>
      </c>
      <c r="F146" s="14" t="s">
        <v>1936</v>
      </c>
      <c r="G146" s="16" t="s">
        <v>822</v>
      </c>
      <c r="H146" s="16" t="s">
        <v>1043</v>
      </c>
      <c r="I146" s="15" t="s">
        <v>1043</v>
      </c>
      <c r="J146" s="17"/>
      <c r="K146" s="15" t="s">
        <v>392</v>
      </c>
      <c r="L146" s="16" t="s">
        <v>399</v>
      </c>
      <c r="M146" s="16" t="s">
        <v>399</v>
      </c>
      <c r="N146" s="17"/>
      <c r="O146" s="16" t="s">
        <v>1043</v>
      </c>
      <c r="P146" s="15" t="s">
        <v>839</v>
      </c>
      <c r="Q146" s="15" t="s">
        <v>842</v>
      </c>
      <c r="R146" s="17"/>
      <c r="S146" s="40" t="str">
        <f>"840,0"</f>
        <v>840,0</v>
      </c>
      <c r="T146" s="17" t="str">
        <f>"481,4880"</f>
        <v>481,4880</v>
      </c>
      <c r="U146" s="14" t="s">
        <v>1937</v>
      </c>
    </row>
    <row r="147" spans="1:21">
      <c r="A147" s="17" t="s">
        <v>178</v>
      </c>
      <c r="B147" s="14" t="s">
        <v>1938</v>
      </c>
      <c r="C147" s="14" t="s">
        <v>1939</v>
      </c>
      <c r="D147" s="14" t="s">
        <v>1940</v>
      </c>
      <c r="E147" s="14" t="str">
        <f>"0,5719"</f>
        <v>0,5719</v>
      </c>
      <c r="F147" s="14" t="s">
        <v>1941</v>
      </c>
      <c r="G147" s="15" t="s">
        <v>804</v>
      </c>
      <c r="H147" s="16" t="s">
        <v>1043</v>
      </c>
      <c r="I147" s="15" t="s">
        <v>1078</v>
      </c>
      <c r="J147" s="17"/>
      <c r="K147" s="15" t="s">
        <v>398</v>
      </c>
      <c r="L147" s="15" t="s">
        <v>392</v>
      </c>
      <c r="M147" s="16" t="s">
        <v>374</v>
      </c>
      <c r="N147" s="17"/>
      <c r="O147" s="15" t="s">
        <v>1043</v>
      </c>
      <c r="P147" s="15" t="s">
        <v>1086</v>
      </c>
      <c r="Q147" s="16" t="s">
        <v>839</v>
      </c>
      <c r="R147" s="17"/>
      <c r="S147" s="40" t="str">
        <f>"825,0"</f>
        <v>825,0</v>
      </c>
      <c r="T147" s="17" t="str">
        <f>"471,8175"</f>
        <v>471,8175</v>
      </c>
      <c r="U147" s="14" t="s">
        <v>158</v>
      </c>
    </row>
    <row r="148" spans="1:21">
      <c r="A148" s="17" t="s">
        <v>183</v>
      </c>
      <c r="B148" s="14" t="s">
        <v>1942</v>
      </c>
      <c r="C148" s="14" t="s">
        <v>1943</v>
      </c>
      <c r="D148" s="14" t="s">
        <v>1295</v>
      </c>
      <c r="E148" s="14" t="str">
        <f>"0,5698"</f>
        <v>0,5698</v>
      </c>
      <c r="F148" s="14" t="s">
        <v>1932</v>
      </c>
      <c r="G148" s="15" t="s">
        <v>1078</v>
      </c>
      <c r="H148" s="16" t="s">
        <v>1151</v>
      </c>
      <c r="I148" s="16" t="s">
        <v>1087</v>
      </c>
      <c r="J148" s="17"/>
      <c r="K148" s="15" t="s">
        <v>374</v>
      </c>
      <c r="L148" s="15" t="s">
        <v>455</v>
      </c>
      <c r="M148" s="15" t="s">
        <v>436</v>
      </c>
      <c r="N148" s="17"/>
      <c r="O148" s="15" t="s">
        <v>822</v>
      </c>
      <c r="P148" s="16" t="s">
        <v>804</v>
      </c>
      <c r="Q148" s="16" t="s">
        <v>1030</v>
      </c>
      <c r="R148" s="17"/>
      <c r="S148" s="40" t="str">
        <f>"820,0"</f>
        <v>820,0</v>
      </c>
      <c r="T148" s="17" t="str">
        <f>"467,2360"</f>
        <v>467,2360</v>
      </c>
      <c r="U148" s="14" t="s">
        <v>158</v>
      </c>
    </row>
    <row r="149" spans="1:21">
      <c r="A149" s="17" t="s">
        <v>186</v>
      </c>
      <c r="B149" s="14" t="s">
        <v>1944</v>
      </c>
      <c r="C149" s="14" t="s">
        <v>1945</v>
      </c>
      <c r="D149" s="14" t="s">
        <v>1946</v>
      </c>
      <c r="E149" s="14" t="str">
        <f>"0,5724"</f>
        <v>0,5724</v>
      </c>
      <c r="F149" s="14" t="s">
        <v>1265</v>
      </c>
      <c r="G149" s="16" t="s">
        <v>804</v>
      </c>
      <c r="H149" s="15" t="s">
        <v>804</v>
      </c>
      <c r="I149" s="16" t="s">
        <v>1086</v>
      </c>
      <c r="J149" s="17"/>
      <c r="K149" s="15" t="s">
        <v>374</v>
      </c>
      <c r="L149" s="16" t="s">
        <v>495</v>
      </c>
      <c r="M149" s="16" t="s">
        <v>495</v>
      </c>
      <c r="N149" s="17"/>
      <c r="O149" s="15" t="s">
        <v>738</v>
      </c>
      <c r="P149" s="16" t="s">
        <v>804</v>
      </c>
      <c r="Q149" s="17"/>
      <c r="R149" s="17"/>
      <c r="S149" s="40" t="str">
        <f>"780,0"</f>
        <v>780,0</v>
      </c>
      <c r="T149" s="17" t="str">
        <f>"446,4720"</f>
        <v>446,4720</v>
      </c>
      <c r="U149" s="14" t="s">
        <v>1266</v>
      </c>
    </row>
    <row r="150" spans="1:21">
      <c r="A150" s="17" t="s">
        <v>556</v>
      </c>
      <c r="B150" s="14" t="s">
        <v>1947</v>
      </c>
      <c r="C150" s="14" t="s">
        <v>1948</v>
      </c>
      <c r="D150" s="14" t="s">
        <v>1949</v>
      </c>
      <c r="E150" s="14" t="str">
        <f>"0,5726"</f>
        <v>0,5726</v>
      </c>
      <c r="F150" s="14" t="s">
        <v>1950</v>
      </c>
      <c r="G150" s="15" t="s">
        <v>523</v>
      </c>
      <c r="H150" s="15" t="s">
        <v>745</v>
      </c>
      <c r="I150" s="15" t="s">
        <v>1005</v>
      </c>
      <c r="J150" s="17"/>
      <c r="K150" s="15" t="s">
        <v>351</v>
      </c>
      <c r="L150" s="15" t="s">
        <v>368</v>
      </c>
      <c r="M150" s="16" t="s">
        <v>453</v>
      </c>
      <c r="N150" s="17"/>
      <c r="O150" s="15" t="s">
        <v>422</v>
      </c>
      <c r="P150" s="15" t="s">
        <v>523</v>
      </c>
      <c r="Q150" s="15" t="s">
        <v>640</v>
      </c>
      <c r="R150" s="17"/>
      <c r="S150" s="40" t="str">
        <f>"750,0"</f>
        <v>750,0</v>
      </c>
      <c r="T150" s="17" t="str">
        <f>"429,4500"</f>
        <v>429,4500</v>
      </c>
      <c r="U150" s="14" t="s">
        <v>1496</v>
      </c>
    </row>
    <row r="151" spans="1:21">
      <c r="A151" s="17" t="s">
        <v>559</v>
      </c>
      <c r="B151" s="14" t="s">
        <v>1951</v>
      </c>
      <c r="C151" s="14" t="s">
        <v>1952</v>
      </c>
      <c r="D151" s="14" t="s">
        <v>1953</v>
      </c>
      <c r="E151" s="14" t="str">
        <f>"0,5710"</f>
        <v>0,5710</v>
      </c>
      <c r="F151" s="14" t="s">
        <v>906</v>
      </c>
      <c r="G151" s="15" t="s">
        <v>822</v>
      </c>
      <c r="H151" s="15" t="s">
        <v>804</v>
      </c>
      <c r="I151" s="16" t="s">
        <v>1043</v>
      </c>
      <c r="J151" s="17"/>
      <c r="K151" s="16" t="s">
        <v>374</v>
      </c>
      <c r="L151" s="15" t="s">
        <v>384</v>
      </c>
      <c r="M151" s="16" t="s">
        <v>420</v>
      </c>
      <c r="N151" s="17"/>
      <c r="O151" s="15" t="s">
        <v>422</v>
      </c>
      <c r="P151" s="16" t="s">
        <v>1175</v>
      </c>
      <c r="Q151" s="16" t="s">
        <v>1175</v>
      </c>
      <c r="R151" s="17"/>
      <c r="S151" s="40" t="str">
        <f>"750,0"</f>
        <v>750,0</v>
      </c>
      <c r="T151" s="17" t="str">
        <f>"428,2500"</f>
        <v>428,2500</v>
      </c>
      <c r="U151" s="14" t="s">
        <v>1954</v>
      </c>
    </row>
    <row r="152" spans="1:21">
      <c r="A152" s="17" t="s">
        <v>564</v>
      </c>
      <c r="B152" s="14" t="s">
        <v>1955</v>
      </c>
      <c r="C152" s="14" t="s">
        <v>1956</v>
      </c>
      <c r="D152" s="14" t="s">
        <v>1957</v>
      </c>
      <c r="E152" s="14" t="str">
        <f>"0,5849"</f>
        <v>0,5849</v>
      </c>
      <c r="F152" s="14" t="s">
        <v>1958</v>
      </c>
      <c r="G152" s="15" t="s">
        <v>523</v>
      </c>
      <c r="H152" s="15" t="s">
        <v>738</v>
      </c>
      <c r="I152" s="16" t="s">
        <v>822</v>
      </c>
      <c r="J152" s="17"/>
      <c r="K152" s="16" t="s">
        <v>152</v>
      </c>
      <c r="L152" s="15" t="s">
        <v>152</v>
      </c>
      <c r="M152" s="15" t="s">
        <v>398</v>
      </c>
      <c r="N152" s="17"/>
      <c r="O152" s="16" t="s">
        <v>640</v>
      </c>
      <c r="P152" s="16" t="s">
        <v>745</v>
      </c>
      <c r="Q152" s="15" t="s">
        <v>745</v>
      </c>
      <c r="R152" s="17"/>
      <c r="S152" s="40" t="str">
        <f>"745,0"</f>
        <v>745,0</v>
      </c>
      <c r="T152" s="17" t="str">
        <f>"435,7505"</f>
        <v>435,7505</v>
      </c>
      <c r="U152" s="14" t="s">
        <v>1959</v>
      </c>
    </row>
    <row r="153" spans="1:21">
      <c r="A153" s="17" t="s">
        <v>92</v>
      </c>
      <c r="B153" s="14" t="s">
        <v>1960</v>
      </c>
      <c r="C153" s="14" t="s">
        <v>1961</v>
      </c>
      <c r="D153" s="14" t="s">
        <v>1962</v>
      </c>
      <c r="E153" s="14" t="str">
        <f>"0,5748"</f>
        <v>0,5748</v>
      </c>
      <c r="F153" s="14" t="s">
        <v>1963</v>
      </c>
      <c r="G153" s="16" t="s">
        <v>1043</v>
      </c>
      <c r="H153" s="16" t="s">
        <v>1043</v>
      </c>
      <c r="I153" s="16" t="s">
        <v>1043</v>
      </c>
      <c r="J153" s="17"/>
      <c r="K153" s="16"/>
      <c r="L153" s="17"/>
      <c r="M153" s="17"/>
      <c r="N153" s="17"/>
      <c r="O153" s="17"/>
      <c r="P153" s="17"/>
      <c r="Q153" s="16"/>
      <c r="R153" s="17"/>
      <c r="S153" s="40">
        <v>0</v>
      </c>
      <c r="T153" s="17" t="str">
        <f>"0,0000"</f>
        <v>0,0000</v>
      </c>
      <c r="U153" s="14" t="s">
        <v>1964</v>
      </c>
    </row>
    <row r="154" spans="1:21">
      <c r="A154" s="17" t="s">
        <v>92</v>
      </c>
      <c r="B154" s="14" t="s">
        <v>1965</v>
      </c>
      <c r="C154" s="14" t="s">
        <v>1966</v>
      </c>
      <c r="D154" s="14" t="s">
        <v>1931</v>
      </c>
      <c r="E154" s="14" t="str">
        <f>"0,5742"</f>
        <v>0,5742</v>
      </c>
      <c r="F154" s="14" t="s">
        <v>156</v>
      </c>
      <c r="G154" s="16" t="s">
        <v>822</v>
      </c>
      <c r="H154" s="16" t="s">
        <v>824</v>
      </c>
      <c r="I154" s="16" t="s">
        <v>824</v>
      </c>
      <c r="J154" s="17"/>
      <c r="K154" s="16"/>
      <c r="L154" s="17"/>
      <c r="M154" s="17"/>
      <c r="N154" s="17"/>
      <c r="O154" s="16"/>
      <c r="P154" s="17"/>
      <c r="Q154" s="17"/>
      <c r="R154" s="17"/>
      <c r="S154" s="40">
        <v>0</v>
      </c>
      <c r="T154" s="17" t="str">
        <f>"0,0000"</f>
        <v>0,0000</v>
      </c>
      <c r="U154" s="14" t="s">
        <v>158</v>
      </c>
    </row>
    <row r="155" spans="1:21">
      <c r="A155" s="17" t="s">
        <v>15</v>
      </c>
      <c r="B155" s="14" t="s">
        <v>1906</v>
      </c>
      <c r="C155" s="14" t="s">
        <v>1967</v>
      </c>
      <c r="D155" s="14" t="s">
        <v>1908</v>
      </c>
      <c r="E155" s="14" t="str">
        <f>"0,5701"</f>
        <v>0,5701</v>
      </c>
      <c r="F155" s="14" t="s">
        <v>1968</v>
      </c>
      <c r="G155" s="16" t="s">
        <v>1909</v>
      </c>
      <c r="H155" s="16" t="s">
        <v>1909</v>
      </c>
      <c r="I155" s="15" t="s">
        <v>1909</v>
      </c>
      <c r="J155" s="17"/>
      <c r="K155" s="15" t="s">
        <v>459</v>
      </c>
      <c r="L155" s="16" t="s">
        <v>627</v>
      </c>
      <c r="M155" s="15" t="s">
        <v>627</v>
      </c>
      <c r="N155" s="17"/>
      <c r="O155" s="15" t="s">
        <v>1087</v>
      </c>
      <c r="P155" s="15" t="s">
        <v>839</v>
      </c>
      <c r="Q155" s="16" t="s">
        <v>1087</v>
      </c>
      <c r="R155" s="17"/>
      <c r="S155" s="40" t="str">
        <f>"960,0"</f>
        <v>960,0</v>
      </c>
      <c r="T155" s="17" t="str">
        <f>"562,6203"</f>
        <v>562,6203</v>
      </c>
      <c r="U155" s="14" t="s">
        <v>1910</v>
      </c>
    </row>
    <row r="156" spans="1:21">
      <c r="A156" s="17" t="s">
        <v>62</v>
      </c>
      <c r="B156" s="14" t="s">
        <v>1938</v>
      </c>
      <c r="C156" s="14" t="s">
        <v>1969</v>
      </c>
      <c r="D156" s="14" t="s">
        <v>1940</v>
      </c>
      <c r="E156" s="14" t="str">
        <f>"0,5719"</f>
        <v>0,5719</v>
      </c>
      <c r="F156" s="14" t="s">
        <v>1970</v>
      </c>
      <c r="G156" s="15" t="s">
        <v>804</v>
      </c>
      <c r="H156" s="16" t="s">
        <v>1043</v>
      </c>
      <c r="I156" s="15" t="s">
        <v>1078</v>
      </c>
      <c r="J156" s="17"/>
      <c r="K156" s="15" t="s">
        <v>398</v>
      </c>
      <c r="L156" s="15" t="s">
        <v>392</v>
      </c>
      <c r="M156" s="16" t="s">
        <v>374</v>
      </c>
      <c r="N156" s="17"/>
      <c r="O156" s="15" t="s">
        <v>1043</v>
      </c>
      <c r="P156" s="15" t="s">
        <v>1086</v>
      </c>
      <c r="Q156" s="16" t="s">
        <v>839</v>
      </c>
      <c r="R156" s="17"/>
      <c r="S156" s="40" t="str">
        <f>"825,0"</f>
        <v>825,0</v>
      </c>
      <c r="T156" s="17" t="str">
        <f>"471,8175"</f>
        <v>471,8175</v>
      </c>
      <c r="U156" s="14" t="s">
        <v>158</v>
      </c>
    </row>
    <row r="157" spans="1:21">
      <c r="A157" s="17" t="s">
        <v>73</v>
      </c>
      <c r="B157" s="14" t="s">
        <v>1971</v>
      </c>
      <c r="C157" s="14" t="s">
        <v>1972</v>
      </c>
      <c r="D157" s="14" t="s">
        <v>1973</v>
      </c>
      <c r="E157" s="14" t="str">
        <f>"0,5819"</f>
        <v>0,5819</v>
      </c>
      <c r="F157" s="14" t="s">
        <v>602</v>
      </c>
      <c r="G157" s="16" t="s">
        <v>420</v>
      </c>
      <c r="H157" s="16" t="s">
        <v>420</v>
      </c>
      <c r="I157" s="15" t="s">
        <v>420</v>
      </c>
      <c r="J157" s="17"/>
      <c r="K157" s="15" t="s">
        <v>58</v>
      </c>
      <c r="L157" s="16" t="s">
        <v>205</v>
      </c>
      <c r="M157" s="15" t="s">
        <v>151</v>
      </c>
      <c r="N157" s="17"/>
      <c r="O157" s="15" t="s">
        <v>384</v>
      </c>
      <c r="P157" s="16" t="s">
        <v>421</v>
      </c>
      <c r="Q157" s="16" t="s">
        <v>421</v>
      </c>
      <c r="R157" s="17"/>
      <c r="S157" s="40" t="str">
        <f>"590,0"</f>
        <v>590,0</v>
      </c>
      <c r="T157" s="17" t="str">
        <f>"345,0376"</f>
        <v>345,0376</v>
      </c>
      <c r="U157" s="14" t="s">
        <v>158</v>
      </c>
    </row>
    <row r="158" spans="1:21">
      <c r="A158" s="17" t="s">
        <v>15</v>
      </c>
      <c r="B158" s="14" t="s">
        <v>1974</v>
      </c>
      <c r="C158" s="14" t="s">
        <v>1975</v>
      </c>
      <c r="D158" s="14" t="s">
        <v>1908</v>
      </c>
      <c r="E158" s="14" t="str">
        <f>"0,5701"</f>
        <v>0,5701</v>
      </c>
      <c r="F158" s="14" t="s">
        <v>1694</v>
      </c>
      <c r="G158" s="15" t="s">
        <v>374</v>
      </c>
      <c r="H158" s="16" t="s">
        <v>420</v>
      </c>
      <c r="I158" s="16" t="s">
        <v>420</v>
      </c>
      <c r="J158" s="17"/>
      <c r="K158" s="15" t="s">
        <v>60</v>
      </c>
      <c r="L158" s="15" t="s">
        <v>151</v>
      </c>
      <c r="M158" s="17"/>
      <c r="N158" s="17"/>
      <c r="O158" s="15" t="s">
        <v>374</v>
      </c>
      <c r="P158" s="15" t="s">
        <v>436</v>
      </c>
      <c r="Q158" s="15" t="s">
        <v>442</v>
      </c>
      <c r="R158" s="17"/>
      <c r="S158" s="40" t="str">
        <f>"585,0"</f>
        <v>585,0</v>
      </c>
      <c r="T158" s="17" t="str">
        <f>"470,2470"</f>
        <v>470,2470</v>
      </c>
      <c r="U158" s="14" t="s">
        <v>158</v>
      </c>
    </row>
    <row r="159" spans="1:21">
      <c r="A159" s="17" t="s">
        <v>62</v>
      </c>
      <c r="B159" s="14" t="s">
        <v>1976</v>
      </c>
      <c r="C159" s="14" t="s">
        <v>1977</v>
      </c>
      <c r="D159" s="14" t="s">
        <v>1978</v>
      </c>
      <c r="E159" s="14" t="str">
        <f>"0,5727"</f>
        <v>0,5727</v>
      </c>
      <c r="F159" s="14" t="s">
        <v>91</v>
      </c>
      <c r="G159" s="16" t="s">
        <v>374</v>
      </c>
      <c r="H159" s="16" t="s">
        <v>374</v>
      </c>
      <c r="I159" s="15" t="s">
        <v>374</v>
      </c>
      <c r="J159" s="17"/>
      <c r="K159" s="15" t="s">
        <v>71</v>
      </c>
      <c r="L159" s="15" t="s">
        <v>58</v>
      </c>
      <c r="M159" s="16" t="s">
        <v>346</v>
      </c>
      <c r="N159" s="17"/>
      <c r="O159" s="15" t="s">
        <v>392</v>
      </c>
      <c r="P159" s="15" t="s">
        <v>384</v>
      </c>
      <c r="Q159" s="15" t="s">
        <v>436</v>
      </c>
      <c r="R159" s="17"/>
      <c r="S159" s="40" t="str">
        <f>"555,0"</f>
        <v>555,0</v>
      </c>
      <c r="T159" s="17" t="str">
        <f>"528,8999"</f>
        <v>528,8999</v>
      </c>
      <c r="U159" s="14" t="s">
        <v>158</v>
      </c>
    </row>
    <row r="160" spans="1:21">
      <c r="A160" s="20" t="s">
        <v>92</v>
      </c>
      <c r="B160" s="18" t="s">
        <v>1979</v>
      </c>
      <c r="C160" s="18" t="s">
        <v>1980</v>
      </c>
      <c r="D160" s="18" t="s">
        <v>1981</v>
      </c>
      <c r="E160" s="18" t="str">
        <f>"0,5846"</f>
        <v>0,5846</v>
      </c>
      <c r="F160" s="18" t="s">
        <v>1238</v>
      </c>
      <c r="G160" s="22" t="s">
        <v>152</v>
      </c>
      <c r="H160" s="22" t="s">
        <v>152</v>
      </c>
      <c r="I160" s="22" t="s">
        <v>152</v>
      </c>
      <c r="J160" s="20"/>
      <c r="K160" s="20"/>
      <c r="L160" s="20"/>
      <c r="M160" s="20"/>
      <c r="N160" s="20"/>
      <c r="O160" s="20"/>
      <c r="P160" s="20"/>
      <c r="Q160" s="20"/>
      <c r="R160" s="20"/>
      <c r="S160" s="38">
        <v>0</v>
      </c>
      <c r="T160" s="20" t="str">
        <f>"0,0000"</f>
        <v>0,0000</v>
      </c>
      <c r="U160" s="18" t="s">
        <v>158</v>
      </c>
    </row>
    <row r="161" spans="1:21">
      <c r="B161" s="5" t="s">
        <v>40</v>
      </c>
    </row>
    <row r="162" spans="1:21" ht="15.95">
      <c r="A162" s="102" t="s">
        <v>794</v>
      </c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</row>
    <row r="163" spans="1:21">
      <c r="A163" s="13" t="s">
        <v>92</v>
      </c>
      <c r="B163" s="11" t="s">
        <v>1982</v>
      </c>
      <c r="C163" s="11" t="s">
        <v>1983</v>
      </c>
      <c r="D163" s="11" t="s">
        <v>1321</v>
      </c>
      <c r="E163" s="11" t="str">
        <f>"0,5588"</f>
        <v>0,5588</v>
      </c>
      <c r="F163" s="11" t="s">
        <v>1984</v>
      </c>
      <c r="G163" s="21" t="s">
        <v>1292</v>
      </c>
      <c r="H163" s="21" t="s">
        <v>1292</v>
      </c>
      <c r="I163" s="21" t="s">
        <v>1292</v>
      </c>
      <c r="J163" s="13"/>
      <c r="K163" s="13"/>
      <c r="L163" s="13"/>
      <c r="M163" s="13"/>
      <c r="N163" s="13"/>
      <c r="O163" s="13"/>
      <c r="P163" s="13"/>
      <c r="Q163" s="13"/>
      <c r="R163" s="13"/>
      <c r="S163" s="37">
        <v>0</v>
      </c>
      <c r="T163" s="13" t="str">
        <f>"0,0000"</f>
        <v>0,0000</v>
      </c>
      <c r="U163" s="11" t="s">
        <v>158</v>
      </c>
    </row>
    <row r="164" spans="1:21">
      <c r="A164" s="17" t="s">
        <v>15</v>
      </c>
      <c r="B164" s="14" t="s">
        <v>1985</v>
      </c>
      <c r="C164" s="14" t="s">
        <v>1986</v>
      </c>
      <c r="D164" s="14" t="s">
        <v>1321</v>
      </c>
      <c r="E164" s="14" t="str">
        <f>"0,5588"</f>
        <v>0,5588</v>
      </c>
      <c r="F164" s="14" t="s">
        <v>1987</v>
      </c>
      <c r="G164" s="15" t="s">
        <v>1087</v>
      </c>
      <c r="H164" s="15" t="s">
        <v>1142</v>
      </c>
      <c r="I164" s="16" t="s">
        <v>1339</v>
      </c>
      <c r="J164" s="17"/>
      <c r="K164" s="15" t="s">
        <v>368</v>
      </c>
      <c r="L164" s="15" t="s">
        <v>374</v>
      </c>
      <c r="M164" s="16" t="s">
        <v>384</v>
      </c>
      <c r="N164" s="17"/>
      <c r="O164" s="15" t="s">
        <v>1086</v>
      </c>
      <c r="P164" s="16" t="s">
        <v>842</v>
      </c>
      <c r="Q164" s="16" t="s">
        <v>842</v>
      </c>
      <c r="R164" s="17"/>
      <c r="S164" s="40" t="str">
        <f>"880,0"</f>
        <v>880,0</v>
      </c>
      <c r="T164" s="17" t="str">
        <f>"491,7440"</f>
        <v>491,7440</v>
      </c>
      <c r="U164" s="14" t="s">
        <v>158</v>
      </c>
    </row>
    <row r="165" spans="1:21">
      <c r="A165" s="17" t="s">
        <v>62</v>
      </c>
      <c r="B165" s="14" t="s">
        <v>1988</v>
      </c>
      <c r="C165" s="14" t="s">
        <v>1989</v>
      </c>
      <c r="D165" s="14" t="s">
        <v>1990</v>
      </c>
      <c r="E165" s="14" t="str">
        <f>"0,5691"</f>
        <v>0,5691</v>
      </c>
      <c r="F165" s="14" t="s">
        <v>91</v>
      </c>
      <c r="G165" s="15" t="s">
        <v>1928</v>
      </c>
      <c r="H165" s="15" t="s">
        <v>1292</v>
      </c>
      <c r="I165" s="15" t="s">
        <v>1141</v>
      </c>
      <c r="J165" s="17"/>
      <c r="K165" s="15" t="s">
        <v>452</v>
      </c>
      <c r="L165" s="15" t="s">
        <v>453</v>
      </c>
      <c r="M165" s="15" t="s">
        <v>383</v>
      </c>
      <c r="N165" s="17"/>
      <c r="O165" s="16" t="s">
        <v>822</v>
      </c>
      <c r="P165" s="15" t="s">
        <v>804</v>
      </c>
      <c r="Q165" s="15" t="s">
        <v>1086</v>
      </c>
      <c r="R165" s="17"/>
      <c r="S165" s="40" t="str">
        <f>"870,0"</f>
        <v>870,0</v>
      </c>
      <c r="T165" s="17" t="str">
        <f>"495,1170"</f>
        <v>495,1170</v>
      </c>
      <c r="U165" s="14" t="s">
        <v>1305</v>
      </c>
    </row>
    <row r="166" spans="1:21">
      <c r="A166" s="17" t="s">
        <v>73</v>
      </c>
      <c r="B166" s="14" t="s">
        <v>1991</v>
      </c>
      <c r="C166" s="14" t="s">
        <v>1992</v>
      </c>
      <c r="D166" s="14" t="s">
        <v>1993</v>
      </c>
      <c r="E166" s="14" t="str">
        <f>"0,5641"</f>
        <v>0,5641</v>
      </c>
      <c r="F166" s="14" t="s">
        <v>1448</v>
      </c>
      <c r="G166" s="15" t="s">
        <v>1229</v>
      </c>
      <c r="H166" s="16" t="s">
        <v>1768</v>
      </c>
      <c r="I166" s="15" t="s">
        <v>1909</v>
      </c>
      <c r="J166" s="17"/>
      <c r="K166" s="15" t="s">
        <v>421</v>
      </c>
      <c r="L166" s="16" t="s">
        <v>422</v>
      </c>
      <c r="M166" s="16" t="s">
        <v>422</v>
      </c>
      <c r="N166" s="17"/>
      <c r="O166" s="15" t="s">
        <v>523</v>
      </c>
      <c r="P166" s="16" t="s">
        <v>738</v>
      </c>
      <c r="Q166" s="16" t="s">
        <v>822</v>
      </c>
      <c r="R166" s="17"/>
      <c r="S166" s="40" t="str">
        <f>"870,0"</f>
        <v>870,0</v>
      </c>
      <c r="T166" s="17" t="str">
        <f>"490,7670"</f>
        <v>490,7670</v>
      </c>
      <c r="U166" s="14" t="s">
        <v>158</v>
      </c>
    </row>
    <row r="167" spans="1:21">
      <c r="A167" s="17" t="s">
        <v>75</v>
      </c>
      <c r="B167" s="14" t="s">
        <v>1994</v>
      </c>
      <c r="C167" s="14" t="s">
        <v>1995</v>
      </c>
      <c r="D167" s="14" t="s">
        <v>1996</v>
      </c>
      <c r="E167" s="14" t="str">
        <f>"0,5618"</f>
        <v>0,5618</v>
      </c>
      <c r="F167" s="14" t="s">
        <v>1694</v>
      </c>
      <c r="G167" s="16" t="s">
        <v>1043</v>
      </c>
      <c r="H167" s="15" t="s">
        <v>1086</v>
      </c>
      <c r="I167" s="16" t="s">
        <v>1087</v>
      </c>
      <c r="J167" s="17"/>
      <c r="K167" s="16" t="s">
        <v>368</v>
      </c>
      <c r="L167" s="15" t="s">
        <v>368</v>
      </c>
      <c r="M167" s="15" t="s">
        <v>454</v>
      </c>
      <c r="N167" s="17"/>
      <c r="O167" s="15" t="s">
        <v>804</v>
      </c>
      <c r="P167" s="16" t="s">
        <v>1078</v>
      </c>
      <c r="Q167" s="15" t="s">
        <v>1078</v>
      </c>
      <c r="R167" s="17"/>
      <c r="S167" s="40" t="str">
        <f>"827,5"</f>
        <v>827,5</v>
      </c>
      <c r="T167" s="17" t="str">
        <f>"464,8895"</f>
        <v>464,8895</v>
      </c>
      <c r="U167" s="14" t="s">
        <v>158</v>
      </c>
    </row>
    <row r="168" spans="1:21">
      <c r="A168" s="20" t="s">
        <v>92</v>
      </c>
      <c r="B168" s="18" t="s">
        <v>1997</v>
      </c>
      <c r="C168" s="18" t="s">
        <v>268</v>
      </c>
      <c r="D168" s="18" t="s">
        <v>1998</v>
      </c>
      <c r="E168" s="18" t="str">
        <f>"0,5637"</f>
        <v>0,5637</v>
      </c>
      <c r="F168" s="18" t="s">
        <v>1694</v>
      </c>
      <c r="G168" s="22" t="s">
        <v>1339</v>
      </c>
      <c r="H168" s="22" t="s">
        <v>1339</v>
      </c>
      <c r="I168" s="22" t="s">
        <v>1339</v>
      </c>
      <c r="J168" s="20"/>
      <c r="K168" s="20"/>
      <c r="L168" s="20"/>
      <c r="M168" s="20"/>
      <c r="N168" s="20"/>
      <c r="O168" s="20"/>
      <c r="P168" s="20"/>
      <c r="Q168" s="20"/>
      <c r="R168" s="20"/>
      <c r="S168" s="38">
        <v>0</v>
      </c>
      <c r="T168" s="20" t="str">
        <f>"0,0000"</f>
        <v>0,0000</v>
      </c>
      <c r="U168" s="18" t="s">
        <v>158</v>
      </c>
    </row>
    <row r="169" spans="1:21">
      <c r="B169" s="5" t="s">
        <v>40</v>
      </c>
    </row>
    <row r="170" spans="1:21" ht="15.95">
      <c r="A170" s="102" t="s">
        <v>818</v>
      </c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</row>
    <row r="171" spans="1:21">
      <c r="A171" s="13" t="s">
        <v>15</v>
      </c>
      <c r="B171" s="11" t="s">
        <v>1999</v>
      </c>
      <c r="C171" s="11" t="s">
        <v>2000</v>
      </c>
      <c r="D171" s="11" t="s">
        <v>2001</v>
      </c>
      <c r="E171" s="11" t="str">
        <f>"0,5506"</f>
        <v>0,5506</v>
      </c>
      <c r="F171" s="11" t="s">
        <v>2002</v>
      </c>
      <c r="G171" s="12" t="s">
        <v>1142</v>
      </c>
      <c r="H171" s="12" t="s">
        <v>1768</v>
      </c>
      <c r="I171" s="21" t="s">
        <v>1345</v>
      </c>
      <c r="J171" s="13"/>
      <c r="K171" s="12" t="s">
        <v>442</v>
      </c>
      <c r="L171" s="12" t="s">
        <v>459</v>
      </c>
      <c r="M171" s="12" t="s">
        <v>627</v>
      </c>
      <c r="N171" s="13"/>
      <c r="O171" s="12" t="s">
        <v>804</v>
      </c>
      <c r="P171" s="12" t="s">
        <v>1086</v>
      </c>
      <c r="Q171" s="21" t="s">
        <v>1087</v>
      </c>
      <c r="R171" s="13"/>
      <c r="S171" s="37" t="str">
        <f>"940,0"</f>
        <v>940,0</v>
      </c>
      <c r="T171" s="13" t="str">
        <f>"517,5640"</f>
        <v>517,5640</v>
      </c>
      <c r="U171" s="11" t="s">
        <v>2003</v>
      </c>
    </row>
    <row r="172" spans="1:21">
      <c r="A172" s="17" t="s">
        <v>62</v>
      </c>
      <c r="B172" s="14" t="s">
        <v>2004</v>
      </c>
      <c r="C172" s="14" t="s">
        <v>2005</v>
      </c>
      <c r="D172" s="14" t="s">
        <v>2006</v>
      </c>
      <c r="E172" s="14" t="str">
        <f>"0,5319"</f>
        <v>0,5319</v>
      </c>
      <c r="F172" s="14" t="s">
        <v>1694</v>
      </c>
      <c r="G172" s="16" t="s">
        <v>842</v>
      </c>
      <c r="H172" s="15" t="s">
        <v>842</v>
      </c>
      <c r="I172" s="16" t="s">
        <v>1339</v>
      </c>
      <c r="J172" s="17"/>
      <c r="K172" s="15" t="s">
        <v>248</v>
      </c>
      <c r="L172" s="15" t="s">
        <v>392</v>
      </c>
      <c r="M172" s="15" t="s">
        <v>374</v>
      </c>
      <c r="N172" s="17"/>
      <c r="O172" s="15" t="s">
        <v>640</v>
      </c>
      <c r="P172" s="15" t="s">
        <v>822</v>
      </c>
      <c r="Q172" s="15" t="s">
        <v>804</v>
      </c>
      <c r="R172" s="17"/>
      <c r="S172" s="40" t="str">
        <f>"840,0"</f>
        <v>840,0</v>
      </c>
      <c r="T172" s="17" t="str">
        <f>"446,7960"</f>
        <v>446,7960</v>
      </c>
      <c r="U172" s="14" t="s">
        <v>158</v>
      </c>
    </row>
    <row r="173" spans="1:21">
      <c r="A173" s="20" t="s">
        <v>15</v>
      </c>
      <c r="B173" s="18" t="s">
        <v>2007</v>
      </c>
      <c r="C173" s="18" t="s">
        <v>2008</v>
      </c>
      <c r="D173" s="18" t="s">
        <v>2009</v>
      </c>
      <c r="E173" s="18" t="str">
        <f>"0,5543"</f>
        <v>0,5543</v>
      </c>
      <c r="F173" s="18" t="s">
        <v>1824</v>
      </c>
      <c r="G173" s="19" t="s">
        <v>38</v>
      </c>
      <c r="H173" s="19" t="s">
        <v>70</v>
      </c>
      <c r="I173" s="20"/>
      <c r="J173" s="20"/>
      <c r="K173" s="19" t="s">
        <v>38</v>
      </c>
      <c r="L173" s="22" t="s">
        <v>70</v>
      </c>
      <c r="M173" s="22" t="s">
        <v>70</v>
      </c>
      <c r="N173" s="20"/>
      <c r="O173" s="19" t="s">
        <v>70</v>
      </c>
      <c r="P173" s="19" t="s">
        <v>58</v>
      </c>
      <c r="Q173" s="20"/>
      <c r="R173" s="20"/>
      <c r="S173" s="38" t="str">
        <f>"360,0"</f>
        <v>360,0</v>
      </c>
      <c r="T173" s="20" t="str">
        <f>"211,5209"</f>
        <v>211,5209</v>
      </c>
      <c r="U173" s="18" t="s">
        <v>158</v>
      </c>
    </row>
    <row r="174" spans="1:21">
      <c r="B174" s="5" t="s">
        <v>40</v>
      </c>
    </row>
    <row r="177" spans="2:6" ht="18">
      <c r="B177" s="23" t="s">
        <v>830</v>
      </c>
      <c r="C177" s="23"/>
    </row>
    <row r="178" spans="2:6" ht="15.95">
      <c r="B178" s="95" t="s">
        <v>831</v>
      </c>
      <c r="C178" s="95"/>
    </row>
    <row r="179" spans="2:6" ht="14.1">
      <c r="B179" s="24"/>
      <c r="C179" s="24" t="s">
        <v>832</v>
      </c>
    </row>
    <row r="180" spans="2:6" ht="14.1">
      <c r="B180" s="4" t="s">
        <v>833</v>
      </c>
      <c r="C180" s="4" t="s">
        <v>834</v>
      </c>
      <c r="D180" s="4" t="s">
        <v>835</v>
      </c>
      <c r="E180" s="4" t="s">
        <v>836</v>
      </c>
      <c r="F180" s="4" t="s">
        <v>837</v>
      </c>
    </row>
    <row r="181" spans="2:6">
      <c r="B181" s="5" t="s">
        <v>2010</v>
      </c>
      <c r="C181" s="5" t="s">
        <v>832</v>
      </c>
      <c r="D181" s="6" t="s">
        <v>850</v>
      </c>
      <c r="E181" s="6" t="s">
        <v>882</v>
      </c>
      <c r="F181" s="6" t="s">
        <v>2011</v>
      </c>
    </row>
    <row r="182" spans="2:6">
      <c r="B182" s="5" t="s">
        <v>1575</v>
      </c>
      <c r="C182" s="5" t="s">
        <v>832</v>
      </c>
      <c r="D182" s="6" t="s">
        <v>841</v>
      </c>
      <c r="E182" s="6" t="s">
        <v>2012</v>
      </c>
      <c r="F182" s="6" t="s">
        <v>2013</v>
      </c>
    </row>
    <row r="183" spans="2:6">
      <c r="B183" s="5" t="s">
        <v>1610</v>
      </c>
      <c r="C183" s="5" t="s">
        <v>832</v>
      </c>
      <c r="D183" s="6" t="s">
        <v>868</v>
      </c>
      <c r="E183" s="6" t="s">
        <v>2014</v>
      </c>
      <c r="F183" s="6" t="s">
        <v>2015</v>
      </c>
    </row>
    <row r="185" spans="2:6" ht="15.95">
      <c r="B185" s="95" t="s">
        <v>855</v>
      </c>
      <c r="C185" s="95"/>
    </row>
    <row r="186" spans="2:6" ht="14.1">
      <c r="B186" s="24"/>
      <c r="C186" s="24" t="s">
        <v>866</v>
      </c>
    </row>
    <row r="187" spans="2:6" ht="14.1">
      <c r="B187" s="4" t="s">
        <v>833</v>
      </c>
      <c r="C187" s="4" t="s">
        <v>834</v>
      </c>
      <c r="D187" s="4" t="s">
        <v>835</v>
      </c>
      <c r="E187" s="4" t="s">
        <v>836</v>
      </c>
      <c r="F187" s="4" t="s">
        <v>837</v>
      </c>
    </row>
    <row r="188" spans="2:6">
      <c r="B188" s="5" t="s">
        <v>1692</v>
      </c>
      <c r="C188" s="5" t="s">
        <v>866</v>
      </c>
      <c r="D188" s="6" t="s">
        <v>858</v>
      </c>
      <c r="E188" s="6" t="s">
        <v>2016</v>
      </c>
      <c r="F188" s="6" t="s">
        <v>2017</v>
      </c>
    </row>
    <row r="189" spans="2:6">
      <c r="B189" s="5" t="s">
        <v>1753</v>
      </c>
      <c r="C189" s="5" t="s">
        <v>866</v>
      </c>
      <c r="D189" s="6" t="s">
        <v>888</v>
      </c>
      <c r="E189" s="6" t="s">
        <v>2018</v>
      </c>
      <c r="F189" s="6" t="s">
        <v>2019</v>
      </c>
    </row>
    <row r="190" spans="2:6">
      <c r="B190" s="5" t="s">
        <v>1904</v>
      </c>
      <c r="C190" s="5" t="s">
        <v>866</v>
      </c>
      <c r="D190" s="6" t="s">
        <v>1356</v>
      </c>
      <c r="E190" s="6" t="s">
        <v>2020</v>
      </c>
      <c r="F190" s="6" t="s">
        <v>2021</v>
      </c>
    </row>
    <row r="192" spans="2:6" ht="14.1">
      <c r="B192" s="24"/>
      <c r="C192" s="24" t="s">
        <v>832</v>
      </c>
    </row>
    <row r="193" spans="2:6" ht="14.1">
      <c r="B193" s="4" t="s">
        <v>833</v>
      </c>
      <c r="C193" s="4" t="s">
        <v>834</v>
      </c>
      <c r="D193" s="4" t="s">
        <v>835</v>
      </c>
      <c r="E193" s="4" t="s">
        <v>836</v>
      </c>
      <c r="F193" s="4" t="s">
        <v>837</v>
      </c>
    </row>
    <row r="194" spans="2:6">
      <c r="B194" s="5" t="s">
        <v>1849</v>
      </c>
      <c r="C194" s="5" t="s">
        <v>832</v>
      </c>
      <c r="D194" s="6" t="s">
        <v>1349</v>
      </c>
      <c r="E194" s="6" t="s">
        <v>2022</v>
      </c>
      <c r="F194" s="6" t="s">
        <v>2023</v>
      </c>
    </row>
    <row r="195" spans="2:6">
      <c r="B195" s="5" t="s">
        <v>1763</v>
      </c>
      <c r="C195" s="5" t="s">
        <v>832</v>
      </c>
      <c r="D195" s="6" t="s">
        <v>888</v>
      </c>
      <c r="E195" s="6" t="s">
        <v>2024</v>
      </c>
      <c r="F195" s="6" t="s">
        <v>2025</v>
      </c>
    </row>
    <row r="196" spans="2:6">
      <c r="B196" s="5" t="s">
        <v>1906</v>
      </c>
      <c r="C196" s="5" t="s">
        <v>832</v>
      </c>
      <c r="D196" s="6" t="s">
        <v>1356</v>
      </c>
      <c r="E196" s="6" t="s">
        <v>2026</v>
      </c>
      <c r="F196" s="6" t="s">
        <v>2027</v>
      </c>
    </row>
    <row r="198" spans="2:6" ht="14.1">
      <c r="B198" s="24"/>
      <c r="C198" s="24" t="s">
        <v>847</v>
      </c>
    </row>
    <row r="199" spans="2:6" ht="14.1">
      <c r="B199" s="4" t="s">
        <v>833</v>
      </c>
      <c r="C199" s="4" t="s">
        <v>834</v>
      </c>
      <c r="D199" s="4" t="s">
        <v>835</v>
      </c>
      <c r="E199" s="4" t="s">
        <v>836</v>
      </c>
      <c r="F199" s="4" t="s">
        <v>837</v>
      </c>
    </row>
    <row r="200" spans="2:6">
      <c r="B200" s="5" t="s">
        <v>1906</v>
      </c>
      <c r="C200" s="5" t="s">
        <v>848</v>
      </c>
      <c r="D200" s="6" t="s">
        <v>1356</v>
      </c>
      <c r="E200" s="6" t="s">
        <v>2026</v>
      </c>
      <c r="F200" s="6" t="s">
        <v>2028</v>
      </c>
    </row>
    <row r="201" spans="2:6">
      <c r="B201" s="5" t="s">
        <v>1744</v>
      </c>
      <c r="C201" s="5" t="s">
        <v>884</v>
      </c>
      <c r="D201" s="6" t="s">
        <v>858</v>
      </c>
      <c r="E201" s="6" t="s">
        <v>2029</v>
      </c>
      <c r="F201" s="6" t="s">
        <v>2030</v>
      </c>
    </row>
    <row r="202" spans="2:6">
      <c r="B202" s="5" t="s">
        <v>1715</v>
      </c>
      <c r="C202" s="5" t="s">
        <v>884</v>
      </c>
      <c r="D202" s="6" t="s">
        <v>858</v>
      </c>
      <c r="E202" s="6" t="s">
        <v>2031</v>
      </c>
      <c r="F202" s="6" t="s">
        <v>2032</v>
      </c>
    </row>
    <row r="203" spans="2:6">
      <c r="B203" s="5" t="s">
        <v>40</v>
      </c>
    </row>
  </sheetData>
  <mergeCells count="29">
    <mergeCell ref="A170:T170"/>
    <mergeCell ref="B3:B4"/>
    <mergeCell ref="A53:T53"/>
    <mergeCell ref="A65:T65"/>
    <mergeCell ref="A87:T87"/>
    <mergeCell ref="A119:T119"/>
    <mergeCell ref="A136:T136"/>
    <mergeCell ref="A162:T162"/>
    <mergeCell ref="A17:T17"/>
    <mergeCell ref="A21:T21"/>
    <mergeCell ref="A27:T27"/>
    <mergeCell ref="A33:T33"/>
    <mergeCell ref="A37:T37"/>
    <mergeCell ref="A40:T40"/>
    <mergeCell ref="S3:S4"/>
    <mergeCell ref="T3:T4"/>
    <mergeCell ref="U3:U4"/>
    <mergeCell ref="A5:T5"/>
    <mergeCell ref="A8:T8"/>
    <mergeCell ref="A13:T13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"/>
  <sheetViews>
    <sheetView workbookViewId="0">
      <selection sqref="A1:M2"/>
    </sheetView>
  </sheetViews>
  <sheetFormatPr defaultColWidth="9.140625" defaultRowHeight="12.95"/>
  <cols>
    <col min="1" max="1" width="7.42578125" style="6" bestFit="1" customWidth="1"/>
    <col min="2" max="2" width="17.85546875" style="5" bestFit="1" customWidth="1"/>
    <col min="3" max="3" width="28.42578125" style="5" bestFit="1" customWidth="1"/>
    <col min="4" max="4" width="21.42578125" style="5" bestFit="1" customWidth="1"/>
    <col min="5" max="5" width="10.42578125" style="5" bestFit="1" customWidth="1"/>
    <col min="6" max="6" width="15.42578125" style="5" bestFit="1" customWidth="1"/>
    <col min="7" max="9" width="4.42578125" style="6" bestFit="1" customWidth="1"/>
    <col min="10" max="10" width="4.85546875" style="6" bestFit="1" customWidth="1"/>
    <col min="11" max="11" width="11.28515625" style="6" bestFit="1" customWidth="1"/>
    <col min="12" max="12" width="7.42578125" style="6" bestFit="1" customWidth="1"/>
    <col min="13" max="13" width="19.7109375" style="5" customWidth="1"/>
    <col min="14" max="16384" width="9.140625" style="3"/>
  </cols>
  <sheetData>
    <row r="1" spans="1:13" s="2" customFormat="1" ht="29.1" customHeight="1">
      <c r="A1" s="103" t="s">
        <v>5188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5176</v>
      </c>
      <c r="F3" s="114" t="s">
        <v>6</v>
      </c>
      <c r="G3" s="114" t="s">
        <v>5177</v>
      </c>
      <c r="H3" s="114"/>
      <c r="I3" s="114"/>
      <c r="J3" s="114"/>
      <c r="K3" s="114" t="s">
        <v>2294</v>
      </c>
      <c r="L3" s="114" t="s">
        <v>11</v>
      </c>
      <c r="M3" s="99" t="s">
        <v>12</v>
      </c>
    </row>
    <row r="4" spans="1:13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113"/>
      <c r="L4" s="113"/>
      <c r="M4" s="100"/>
    </row>
    <row r="5" spans="1:13" ht="15.95">
      <c r="A5" s="101" t="s">
        <v>195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3">
      <c r="A6" s="10" t="s">
        <v>15</v>
      </c>
      <c r="B6" s="7" t="s">
        <v>5189</v>
      </c>
      <c r="C6" s="7" t="s">
        <v>5190</v>
      </c>
      <c r="D6" s="7" t="s">
        <v>5191</v>
      </c>
      <c r="E6" s="7" t="str">
        <f>"1,8870"</f>
        <v>1,8870</v>
      </c>
      <c r="F6" s="7" t="s">
        <v>91</v>
      </c>
      <c r="G6" s="8" t="s">
        <v>4927</v>
      </c>
      <c r="H6" s="8" t="s">
        <v>24</v>
      </c>
      <c r="I6" s="9" t="s">
        <v>4071</v>
      </c>
      <c r="J6" s="10"/>
      <c r="K6" s="10" t="str">
        <f>"25,0"</f>
        <v>25,0</v>
      </c>
      <c r="L6" s="10" t="str">
        <f>"47,4109"</f>
        <v>47,4109</v>
      </c>
      <c r="M6" s="7" t="s">
        <v>5192</v>
      </c>
    </row>
    <row r="7" spans="1:13">
      <c r="B7" s="5" t="s">
        <v>40</v>
      </c>
    </row>
    <row r="8" spans="1:13" ht="15.95">
      <c r="A8" s="102" t="s">
        <v>195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3">
      <c r="A9" s="10" t="s">
        <v>15</v>
      </c>
      <c r="B9" s="7" t="s">
        <v>1627</v>
      </c>
      <c r="C9" s="7" t="s">
        <v>5193</v>
      </c>
      <c r="D9" s="7" t="s">
        <v>1623</v>
      </c>
      <c r="E9" s="7" t="str">
        <f>"1,4266"</f>
        <v>1,4266</v>
      </c>
      <c r="F9" s="7" t="s">
        <v>594</v>
      </c>
      <c r="G9" s="8" t="s">
        <v>5194</v>
      </c>
      <c r="H9" s="8" t="s">
        <v>5195</v>
      </c>
      <c r="I9" s="8" t="s">
        <v>5061</v>
      </c>
      <c r="J9" s="10"/>
      <c r="K9" s="10" t="str">
        <f>"15,0"</f>
        <v>15,0</v>
      </c>
      <c r="L9" s="10" t="str">
        <f>"21,3990"</f>
        <v>21,3990</v>
      </c>
      <c r="M9" s="7" t="s">
        <v>1629</v>
      </c>
    </row>
    <row r="10" spans="1:13">
      <c r="B10" s="5" t="s">
        <v>40</v>
      </c>
    </row>
  </sheetData>
  <mergeCells count="13">
    <mergeCell ref="A5:L5"/>
    <mergeCell ref="A8:L8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2"/>
  <sheetViews>
    <sheetView workbookViewId="0">
      <selection sqref="A1:M2"/>
    </sheetView>
  </sheetViews>
  <sheetFormatPr defaultColWidth="9.140625" defaultRowHeight="12.95"/>
  <cols>
    <col min="1" max="1" width="7.42578125" style="6" bestFit="1" customWidth="1"/>
    <col min="2" max="2" width="17.85546875" style="5" bestFit="1" customWidth="1"/>
    <col min="3" max="3" width="28.42578125" style="5" bestFit="1" customWidth="1"/>
    <col min="4" max="4" width="21.42578125" style="5" bestFit="1" customWidth="1"/>
    <col min="5" max="5" width="10.42578125" style="5" bestFit="1" customWidth="1"/>
    <col min="6" max="6" width="15.42578125" style="5" bestFit="1" customWidth="1"/>
    <col min="7" max="8" width="4.42578125" style="6" bestFit="1" customWidth="1"/>
    <col min="9" max="10" width="5.42578125" style="6" bestFit="1" customWidth="1"/>
    <col min="11" max="11" width="11.28515625" style="6" bestFit="1" customWidth="1"/>
    <col min="12" max="12" width="8.42578125" style="6" bestFit="1" customWidth="1"/>
    <col min="13" max="13" width="15.42578125" style="5" bestFit="1" customWidth="1"/>
    <col min="14" max="16384" width="9.140625" style="3"/>
  </cols>
  <sheetData>
    <row r="1" spans="1:13" s="2" customFormat="1" ht="29.1" customHeight="1">
      <c r="A1" s="103" t="s">
        <v>5196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5176</v>
      </c>
      <c r="F3" s="114" t="s">
        <v>6</v>
      </c>
      <c r="G3" s="114" t="s">
        <v>5178</v>
      </c>
      <c r="H3" s="114"/>
      <c r="I3" s="114"/>
      <c r="J3" s="114"/>
      <c r="K3" s="114" t="s">
        <v>2294</v>
      </c>
      <c r="L3" s="114" t="s">
        <v>11</v>
      </c>
      <c r="M3" s="99" t="s">
        <v>12</v>
      </c>
    </row>
    <row r="4" spans="1:13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113"/>
      <c r="L4" s="113"/>
      <c r="M4" s="100"/>
    </row>
    <row r="5" spans="1:13" ht="15.95">
      <c r="A5" s="101" t="s">
        <v>141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3">
      <c r="A6" s="10" t="s">
        <v>15</v>
      </c>
      <c r="B6" s="7" t="s">
        <v>2330</v>
      </c>
      <c r="C6" s="7" t="s">
        <v>2331</v>
      </c>
      <c r="D6" s="7" t="s">
        <v>165</v>
      </c>
      <c r="E6" s="7" t="str">
        <f>"1,9158"</f>
        <v>1,9158</v>
      </c>
      <c r="F6" s="7" t="s">
        <v>232</v>
      </c>
      <c r="G6" s="8" t="s">
        <v>5195</v>
      </c>
      <c r="H6" s="8" t="s">
        <v>4927</v>
      </c>
      <c r="I6" s="9" t="s">
        <v>24</v>
      </c>
      <c r="J6" s="10"/>
      <c r="K6" s="10" t="str">
        <f>"20,0"</f>
        <v>20,0</v>
      </c>
      <c r="L6" s="10" t="str">
        <f>"38,3160"</f>
        <v>38,3160</v>
      </c>
      <c r="M6" s="7" t="s">
        <v>2333</v>
      </c>
    </row>
    <row r="7" spans="1:13">
      <c r="B7" s="5" t="s">
        <v>40</v>
      </c>
    </row>
    <row r="8" spans="1:13" ht="15.95">
      <c r="A8" s="102" t="s">
        <v>195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3">
      <c r="A9" s="13" t="s">
        <v>15</v>
      </c>
      <c r="B9" s="11" t="s">
        <v>1627</v>
      </c>
      <c r="C9" s="11" t="s">
        <v>5193</v>
      </c>
      <c r="D9" s="11" t="s">
        <v>1623</v>
      </c>
      <c r="E9" s="11" t="str">
        <f>"1,4266"</f>
        <v>1,4266</v>
      </c>
      <c r="F9" s="11" t="s">
        <v>594</v>
      </c>
      <c r="G9" s="12" t="s">
        <v>5194</v>
      </c>
      <c r="H9" s="12" t="s">
        <v>5197</v>
      </c>
      <c r="I9" s="21" t="s">
        <v>4927</v>
      </c>
      <c r="J9" s="13"/>
      <c r="K9" s="13" t="str">
        <f>"12,5"</f>
        <v>12,5</v>
      </c>
      <c r="L9" s="13" t="str">
        <f>"17,8325"</f>
        <v>17,8325</v>
      </c>
      <c r="M9" s="11" t="s">
        <v>1629</v>
      </c>
    </row>
    <row r="10" spans="1:13">
      <c r="A10" s="17" t="s">
        <v>15</v>
      </c>
      <c r="B10" s="14" t="s">
        <v>5198</v>
      </c>
      <c r="C10" s="14" t="s">
        <v>5199</v>
      </c>
      <c r="D10" s="14" t="s">
        <v>219</v>
      </c>
      <c r="E10" s="14" t="str">
        <f>"1,4600"</f>
        <v>1,4600</v>
      </c>
      <c r="F10" s="14" t="s">
        <v>91</v>
      </c>
      <c r="G10" s="16" t="s">
        <v>26</v>
      </c>
      <c r="H10" s="15" t="s">
        <v>26</v>
      </c>
      <c r="I10" s="16" t="s">
        <v>57</v>
      </c>
      <c r="J10" s="17"/>
      <c r="K10" s="17" t="str">
        <f>"60,0"</f>
        <v>60,0</v>
      </c>
      <c r="L10" s="17" t="str">
        <f>"87,6000"</f>
        <v>87,6000</v>
      </c>
      <c r="M10" s="14" t="s">
        <v>158</v>
      </c>
    </row>
    <row r="11" spans="1:13">
      <c r="A11" s="20" t="s">
        <v>15</v>
      </c>
      <c r="B11" s="18" t="s">
        <v>5198</v>
      </c>
      <c r="C11" s="18" t="s">
        <v>5200</v>
      </c>
      <c r="D11" s="18" t="s">
        <v>219</v>
      </c>
      <c r="E11" s="18" t="str">
        <f>"1,4600"</f>
        <v>1,4600</v>
      </c>
      <c r="F11" s="18" t="s">
        <v>91</v>
      </c>
      <c r="G11" s="22" t="s">
        <v>26</v>
      </c>
      <c r="H11" s="19" t="s">
        <v>26</v>
      </c>
      <c r="I11" s="22" t="s">
        <v>57</v>
      </c>
      <c r="J11" s="20"/>
      <c r="K11" s="20" t="str">
        <f>"60,0"</f>
        <v>60,0</v>
      </c>
      <c r="L11" s="20" t="str">
        <f>"111,5148"</f>
        <v>111,5148</v>
      </c>
      <c r="M11" s="18" t="s">
        <v>158</v>
      </c>
    </row>
    <row r="12" spans="1:13">
      <c r="B12" s="5" t="s">
        <v>40</v>
      </c>
    </row>
    <row r="13" spans="1:13" ht="15.95">
      <c r="A13" s="102" t="s">
        <v>241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</row>
    <row r="14" spans="1:13">
      <c r="A14" s="10" t="s">
        <v>15</v>
      </c>
      <c r="B14" s="7" t="s">
        <v>5201</v>
      </c>
      <c r="C14" s="7" t="s">
        <v>5202</v>
      </c>
      <c r="D14" s="7" t="s">
        <v>5203</v>
      </c>
      <c r="E14" s="7" t="str">
        <f>"1,3758"</f>
        <v>1,3758</v>
      </c>
      <c r="F14" s="7" t="s">
        <v>633</v>
      </c>
      <c r="G14" s="8" t="s">
        <v>57</v>
      </c>
      <c r="H14" s="9" t="s">
        <v>33</v>
      </c>
      <c r="I14" s="8" t="s">
        <v>33</v>
      </c>
      <c r="J14" s="10"/>
      <c r="K14" s="10" t="str">
        <f>"70,0"</f>
        <v>70,0</v>
      </c>
      <c r="L14" s="10" t="str">
        <f>"96,3060"</f>
        <v>96,3060</v>
      </c>
      <c r="M14" s="7" t="s">
        <v>158</v>
      </c>
    </row>
    <row r="15" spans="1:13">
      <c r="B15" s="5" t="s">
        <v>40</v>
      </c>
    </row>
    <row r="16" spans="1:13" ht="15.95">
      <c r="A16" s="102" t="s">
        <v>301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1:13">
      <c r="A17" s="13" t="s">
        <v>15</v>
      </c>
      <c r="B17" s="11" t="s">
        <v>2511</v>
      </c>
      <c r="C17" s="11" t="s">
        <v>2512</v>
      </c>
      <c r="D17" s="11" t="s">
        <v>2505</v>
      </c>
      <c r="E17" s="11" t="str">
        <f>"1,1352"</f>
        <v>1,1352</v>
      </c>
      <c r="F17" s="11" t="s">
        <v>2513</v>
      </c>
      <c r="G17" s="21" t="s">
        <v>81</v>
      </c>
      <c r="H17" s="21" t="s">
        <v>37</v>
      </c>
      <c r="I17" s="12" t="s">
        <v>38</v>
      </c>
      <c r="J17" s="12" t="s">
        <v>49</v>
      </c>
      <c r="K17" s="13" t="str">
        <f>"100,0"</f>
        <v>100,0</v>
      </c>
      <c r="L17" s="13" t="str">
        <f>"113,5200"</f>
        <v>113,5200</v>
      </c>
      <c r="M17" s="11" t="s">
        <v>158</v>
      </c>
    </row>
    <row r="18" spans="1:13">
      <c r="A18" s="20" t="s">
        <v>15</v>
      </c>
      <c r="B18" s="18" t="s">
        <v>5204</v>
      </c>
      <c r="C18" s="18" t="s">
        <v>5205</v>
      </c>
      <c r="D18" s="18" t="s">
        <v>3721</v>
      </c>
      <c r="E18" s="18" t="str">
        <f>"1,1652"</f>
        <v>1,1652</v>
      </c>
      <c r="F18" s="18" t="s">
        <v>5206</v>
      </c>
      <c r="G18" s="19" t="s">
        <v>103</v>
      </c>
      <c r="H18" s="19" t="s">
        <v>26</v>
      </c>
      <c r="I18" s="22" t="s">
        <v>33</v>
      </c>
      <c r="J18" s="20"/>
      <c r="K18" s="20" t="str">
        <f>"60,0"</f>
        <v>60,0</v>
      </c>
      <c r="L18" s="20" t="str">
        <f>"75,3651"</f>
        <v>75,3651</v>
      </c>
      <c r="M18" s="18" t="s">
        <v>5207</v>
      </c>
    </row>
    <row r="19" spans="1:13">
      <c r="B19" s="5" t="s">
        <v>40</v>
      </c>
    </row>
    <row r="20" spans="1:13" ht="15.95">
      <c r="A20" s="102" t="s">
        <v>334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1:13">
      <c r="A21" s="10" t="s">
        <v>15</v>
      </c>
      <c r="B21" s="7" t="s">
        <v>5208</v>
      </c>
      <c r="C21" s="7" t="s">
        <v>5209</v>
      </c>
      <c r="D21" s="7" t="s">
        <v>5210</v>
      </c>
      <c r="E21" s="7" t="str">
        <f>"1,1100"</f>
        <v>1,1100</v>
      </c>
      <c r="F21" s="7" t="s">
        <v>1897</v>
      </c>
      <c r="G21" s="8" t="s">
        <v>21</v>
      </c>
      <c r="H21" s="8" t="s">
        <v>103</v>
      </c>
      <c r="I21" s="8" t="s">
        <v>26</v>
      </c>
      <c r="J21" s="10"/>
      <c r="K21" s="10" t="str">
        <f>"60,0"</f>
        <v>60,0</v>
      </c>
      <c r="L21" s="10" t="str">
        <f>"66,6000"</f>
        <v>66,6000</v>
      </c>
      <c r="M21" s="7" t="s">
        <v>4264</v>
      </c>
    </row>
    <row r="22" spans="1:13">
      <c r="B22" s="5" t="s">
        <v>40</v>
      </c>
    </row>
  </sheetData>
  <mergeCells count="16">
    <mergeCell ref="A16:L16"/>
    <mergeCell ref="A20:L20"/>
    <mergeCell ref="B3:B4"/>
    <mergeCell ref="K3:K4"/>
    <mergeCell ref="L3:L4"/>
    <mergeCell ref="M3:M4"/>
    <mergeCell ref="A5:L5"/>
    <mergeCell ref="A8:L8"/>
    <mergeCell ref="A13:L13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6"/>
  <sheetViews>
    <sheetView workbookViewId="0">
      <selection sqref="A1:I2"/>
    </sheetView>
  </sheetViews>
  <sheetFormatPr defaultColWidth="9.140625" defaultRowHeight="12.95"/>
  <cols>
    <col min="1" max="1" width="7.42578125" style="6" bestFit="1" customWidth="1"/>
    <col min="2" max="2" width="16.85546875" style="5" bestFit="1" customWidth="1"/>
    <col min="3" max="3" width="28.42578125" style="5" bestFit="1" customWidth="1"/>
    <col min="4" max="4" width="21.42578125" style="5" bestFit="1" customWidth="1"/>
    <col min="5" max="5" width="17.28515625" style="5" bestFit="1" customWidth="1"/>
    <col min="6" max="6" width="14.85546875" style="35" customWidth="1"/>
    <col min="7" max="7" width="16.42578125" style="25" customWidth="1"/>
    <col min="8" max="8" width="12" style="25" customWidth="1"/>
    <col min="9" max="9" width="15.42578125" style="5" bestFit="1" customWidth="1"/>
    <col min="10" max="16384" width="9.140625" style="3"/>
  </cols>
  <sheetData>
    <row r="1" spans="1:9" s="2" customFormat="1" ht="29.1" customHeight="1">
      <c r="A1" s="103" t="s">
        <v>5211</v>
      </c>
      <c r="B1" s="104"/>
      <c r="C1" s="105"/>
      <c r="D1" s="105"/>
      <c r="E1" s="105"/>
      <c r="F1" s="105"/>
      <c r="G1" s="105"/>
      <c r="H1" s="105"/>
      <c r="I1" s="106"/>
    </row>
    <row r="2" spans="1:9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9"/>
    </row>
    <row r="3" spans="1:9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6</v>
      </c>
      <c r="F3" s="121" t="s">
        <v>5212</v>
      </c>
      <c r="G3" s="121"/>
      <c r="H3" s="119" t="s">
        <v>2294</v>
      </c>
      <c r="I3" s="99" t="s">
        <v>12</v>
      </c>
    </row>
    <row r="4" spans="1:9" s="1" customFormat="1" ht="21" customHeight="1" thickBot="1">
      <c r="A4" s="111"/>
      <c r="B4" s="116"/>
      <c r="C4" s="113"/>
      <c r="D4" s="113"/>
      <c r="E4" s="113"/>
      <c r="F4" s="44" t="s">
        <v>3858</v>
      </c>
      <c r="G4" s="97" t="s">
        <v>3859</v>
      </c>
      <c r="H4" s="120"/>
      <c r="I4" s="100"/>
    </row>
    <row r="5" spans="1:9" ht="15.95">
      <c r="A5" s="101" t="s">
        <v>241</v>
      </c>
      <c r="B5" s="101"/>
      <c r="C5" s="101"/>
      <c r="D5" s="101"/>
      <c r="E5" s="101"/>
      <c r="F5" s="101"/>
      <c r="G5" s="101"/>
      <c r="H5" s="101"/>
    </row>
    <row r="6" spans="1:9">
      <c r="A6" s="10" t="s">
        <v>15</v>
      </c>
      <c r="B6" s="7" t="s">
        <v>5213</v>
      </c>
      <c r="C6" s="7" t="s">
        <v>1227</v>
      </c>
      <c r="D6" s="7" t="s">
        <v>5214</v>
      </c>
      <c r="E6" s="7" t="s">
        <v>5215</v>
      </c>
      <c r="F6" s="36" t="s">
        <v>5061</v>
      </c>
      <c r="G6" s="27">
        <v>10</v>
      </c>
      <c r="H6" s="27">
        <v>10</v>
      </c>
      <c r="I6" s="7" t="s">
        <v>158</v>
      </c>
    </row>
    <row r="7" spans="1:9">
      <c r="B7" s="5" t="s">
        <v>40</v>
      </c>
    </row>
    <row r="8" spans="1:9" ht="15.95">
      <c r="A8" s="102" t="s">
        <v>301</v>
      </c>
      <c r="B8" s="102"/>
      <c r="C8" s="102"/>
      <c r="D8" s="102"/>
      <c r="E8" s="102"/>
      <c r="F8" s="102"/>
      <c r="G8" s="102"/>
      <c r="H8" s="102"/>
    </row>
    <row r="9" spans="1:9">
      <c r="A9" s="10" t="s">
        <v>15</v>
      </c>
      <c r="B9" s="7" t="s">
        <v>3983</v>
      </c>
      <c r="C9" s="7" t="s">
        <v>3987</v>
      </c>
      <c r="D9" s="7" t="s">
        <v>304</v>
      </c>
      <c r="E9" s="7" t="s">
        <v>66</v>
      </c>
      <c r="F9" s="36" t="s">
        <v>5061</v>
      </c>
      <c r="G9" s="27">
        <v>18</v>
      </c>
      <c r="H9" s="27">
        <v>18</v>
      </c>
      <c r="I9" s="7" t="s">
        <v>158</v>
      </c>
    </row>
    <row r="10" spans="1:9">
      <c r="B10" s="5" t="s">
        <v>40</v>
      </c>
    </row>
    <row r="11" spans="1:9" ht="15.95">
      <c r="A11" s="102" t="s">
        <v>334</v>
      </c>
      <c r="B11" s="102"/>
      <c r="C11" s="102"/>
      <c r="D11" s="102"/>
      <c r="E11" s="102"/>
      <c r="F11" s="102"/>
      <c r="G11" s="102"/>
      <c r="H11" s="102"/>
    </row>
    <row r="12" spans="1:9">
      <c r="A12" s="10" t="s">
        <v>15</v>
      </c>
      <c r="B12" s="7" t="s">
        <v>5216</v>
      </c>
      <c r="C12" s="7" t="s">
        <v>5217</v>
      </c>
      <c r="D12" s="7" t="s">
        <v>5218</v>
      </c>
      <c r="E12" s="7" t="s">
        <v>1279</v>
      </c>
      <c r="F12" s="36" t="s">
        <v>5061</v>
      </c>
      <c r="G12" s="27">
        <v>14</v>
      </c>
      <c r="H12" s="27">
        <v>14</v>
      </c>
      <c r="I12" s="7" t="s">
        <v>158</v>
      </c>
    </row>
    <row r="13" spans="1:9">
      <c r="B13" s="5" t="s">
        <v>40</v>
      </c>
    </row>
    <row r="14" spans="1:9" ht="15.95">
      <c r="A14" s="102" t="s">
        <v>670</v>
      </c>
      <c r="B14" s="102"/>
      <c r="C14" s="102"/>
      <c r="D14" s="102"/>
      <c r="E14" s="102"/>
      <c r="F14" s="102"/>
      <c r="G14" s="102"/>
      <c r="H14" s="102"/>
    </row>
    <row r="15" spans="1:9">
      <c r="A15" s="10" t="s">
        <v>15</v>
      </c>
      <c r="B15" s="7" t="s">
        <v>3539</v>
      </c>
      <c r="C15" s="7" t="s">
        <v>5219</v>
      </c>
      <c r="D15" s="7" t="s">
        <v>2816</v>
      </c>
      <c r="E15" s="7" t="s">
        <v>91</v>
      </c>
      <c r="F15" s="36" t="s">
        <v>5061</v>
      </c>
      <c r="G15" s="27">
        <v>10</v>
      </c>
      <c r="H15" s="27">
        <v>10</v>
      </c>
      <c r="I15" s="7" t="s">
        <v>158</v>
      </c>
    </row>
    <row r="16" spans="1:9">
      <c r="B16" s="5" t="s">
        <v>40</v>
      </c>
    </row>
  </sheetData>
  <mergeCells count="13">
    <mergeCell ref="A14:H14"/>
    <mergeCell ref="B3:B4"/>
    <mergeCell ref="H3:H4"/>
    <mergeCell ref="I3:I4"/>
    <mergeCell ref="A5:H5"/>
    <mergeCell ref="A8:H8"/>
    <mergeCell ref="A11:H11"/>
    <mergeCell ref="A1:I2"/>
    <mergeCell ref="A3:A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3"/>
  <sheetViews>
    <sheetView workbookViewId="0">
      <selection sqref="A1:I2"/>
    </sheetView>
  </sheetViews>
  <sheetFormatPr defaultColWidth="9.140625" defaultRowHeight="12.95"/>
  <cols>
    <col min="1" max="1" width="7.42578125" style="6" bestFit="1" customWidth="1"/>
    <col min="2" max="2" width="20.28515625" style="5" bestFit="1" customWidth="1"/>
    <col min="3" max="3" width="27.7109375" style="5" bestFit="1" customWidth="1"/>
    <col min="4" max="4" width="21.42578125" style="5" bestFit="1" customWidth="1"/>
    <col min="5" max="5" width="23.140625" style="5" customWidth="1"/>
    <col min="6" max="6" width="13.7109375" style="6" customWidth="1"/>
    <col min="7" max="7" width="17.140625" style="25" customWidth="1"/>
    <col min="8" max="8" width="12.140625" style="25" customWidth="1"/>
    <col min="9" max="9" width="20.28515625" style="5" customWidth="1"/>
    <col min="10" max="16384" width="9.140625" style="3"/>
  </cols>
  <sheetData>
    <row r="1" spans="1:9" s="2" customFormat="1" ht="29.1" customHeight="1">
      <c r="A1" s="103" t="s">
        <v>5220</v>
      </c>
      <c r="B1" s="104"/>
      <c r="C1" s="105"/>
      <c r="D1" s="105"/>
      <c r="E1" s="105"/>
      <c r="F1" s="105"/>
      <c r="G1" s="105"/>
      <c r="H1" s="105"/>
      <c r="I1" s="106"/>
    </row>
    <row r="2" spans="1:9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9"/>
    </row>
    <row r="3" spans="1:9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6</v>
      </c>
      <c r="F3" s="114" t="s">
        <v>5212</v>
      </c>
      <c r="G3" s="114"/>
      <c r="H3" s="119" t="s">
        <v>2294</v>
      </c>
      <c r="I3" s="99" t="s">
        <v>12</v>
      </c>
    </row>
    <row r="4" spans="1:9" s="1" customFormat="1" ht="21" customHeight="1" thickBot="1">
      <c r="A4" s="111"/>
      <c r="B4" s="116"/>
      <c r="C4" s="113"/>
      <c r="D4" s="113"/>
      <c r="E4" s="113"/>
      <c r="F4" s="96" t="s">
        <v>3858</v>
      </c>
      <c r="G4" s="97" t="s">
        <v>3859</v>
      </c>
      <c r="H4" s="120"/>
      <c r="I4" s="100"/>
    </row>
    <row r="5" spans="1:9" ht="15.95">
      <c r="A5" s="101" t="s">
        <v>141</v>
      </c>
      <c r="B5" s="101"/>
      <c r="C5" s="101"/>
      <c r="D5" s="101"/>
      <c r="E5" s="101"/>
      <c r="F5" s="101"/>
      <c r="G5" s="101"/>
      <c r="H5" s="101"/>
    </row>
    <row r="6" spans="1:9">
      <c r="A6" s="10" t="s">
        <v>15</v>
      </c>
      <c r="B6" s="7" t="s">
        <v>5221</v>
      </c>
      <c r="C6" s="7" t="s">
        <v>5222</v>
      </c>
      <c r="D6" s="7" t="s">
        <v>175</v>
      </c>
      <c r="E6" s="7" t="s">
        <v>1279</v>
      </c>
      <c r="F6" s="10" t="s">
        <v>5195</v>
      </c>
      <c r="G6" s="27">
        <v>11</v>
      </c>
      <c r="H6" s="27">
        <v>11</v>
      </c>
      <c r="I6" s="7" t="s">
        <v>158</v>
      </c>
    </row>
    <row r="7" spans="1:9">
      <c r="B7" s="5" t="s">
        <v>40</v>
      </c>
    </row>
    <row r="8" spans="1:9" ht="15.95">
      <c r="A8" s="102" t="s">
        <v>195</v>
      </c>
      <c r="B8" s="102"/>
      <c r="C8" s="102"/>
      <c r="D8" s="102"/>
      <c r="E8" s="102"/>
      <c r="F8" s="102"/>
      <c r="G8" s="102"/>
      <c r="H8" s="102"/>
    </row>
    <row r="9" spans="1:9">
      <c r="A9" s="10" t="s">
        <v>15</v>
      </c>
      <c r="B9" s="7" t="s">
        <v>5223</v>
      </c>
      <c r="C9" s="7" t="s">
        <v>5224</v>
      </c>
      <c r="D9" s="7" t="s">
        <v>231</v>
      </c>
      <c r="E9" s="7" t="s">
        <v>5225</v>
      </c>
      <c r="F9" s="10" t="s">
        <v>5195</v>
      </c>
      <c r="G9" s="27">
        <v>11</v>
      </c>
      <c r="H9" s="27">
        <v>11</v>
      </c>
      <c r="I9" s="7" t="s">
        <v>158</v>
      </c>
    </row>
    <row r="10" spans="1:9">
      <c r="B10" s="5" t="s">
        <v>40</v>
      </c>
    </row>
    <row r="11" spans="1:9" ht="15.95">
      <c r="A11" s="102" t="s">
        <v>301</v>
      </c>
      <c r="B11" s="102"/>
      <c r="C11" s="102"/>
      <c r="D11" s="102"/>
      <c r="E11" s="102"/>
      <c r="F11" s="102"/>
      <c r="G11" s="102"/>
      <c r="H11" s="102"/>
    </row>
    <row r="12" spans="1:9">
      <c r="A12" s="10" t="s">
        <v>92</v>
      </c>
      <c r="B12" s="7" t="s">
        <v>5183</v>
      </c>
      <c r="C12" s="7" t="s">
        <v>5184</v>
      </c>
      <c r="D12" s="7" t="s">
        <v>1013</v>
      </c>
      <c r="E12" s="7" t="s">
        <v>91</v>
      </c>
      <c r="F12" s="10" t="s">
        <v>5195</v>
      </c>
      <c r="G12" s="27">
        <v>0</v>
      </c>
      <c r="H12" s="27">
        <v>0</v>
      </c>
      <c r="I12" s="7" t="s">
        <v>158</v>
      </c>
    </row>
    <row r="13" spans="1:9">
      <c r="B13" s="5" t="s">
        <v>40</v>
      </c>
    </row>
  </sheetData>
  <mergeCells count="12">
    <mergeCell ref="A11:H11"/>
    <mergeCell ref="B3:B4"/>
    <mergeCell ref="A1:I2"/>
    <mergeCell ref="A3:A4"/>
    <mergeCell ref="C3:C4"/>
    <mergeCell ref="D3:D4"/>
    <mergeCell ref="E3:E4"/>
    <mergeCell ref="F3:G3"/>
    <mergeCell ref="H3:H4"/>
    <mergeCell ref="I3:I4"/>
    <mergeCell ref="A5:H5"/>
    <mergeCell ref="A8:H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"/>
  <sheetViews>
    <sheetView workbookViewId="0">
      <selection sqref="A1:I2"/>
    </sheetView>
  </sheetViews>
  <sheetFormatPr defaultColWidth="9.140625" defaultRowHeight="12.95"/>
  <cols>
    <col min="1" max="1" width="7.42578125" style="6" bestFit="1" customWidth="1"/>
    <col min="2" max="2" width="13.28515625" style="5" bestFit="1" customWidth="1"/>
    <col min="3" max="3" width="26.28515625" style="5" bestFit="1" customWidth="1"/>
    <col min="4" max="4" width="21.42578125" style="5" bestFit="1" customWidth="1"/>
    <col min="5" max="5" width="19" style="5" customWidth="1"/>
    <col min="6" max="6" width="14.7109375" style="6" customWidth="1"/>
    <col min="7" max="7" width="15.85546875" style="25" customWidth="1"/>
    <col min="8" max="8" width="11.28515625" style="25" customWidth="1"/>
    <col min="9" max="9" width="20.42578125" style="5" customWidth="1"/>
    <col min="10" max="16384" width="9.140625" style="3"/>
  </cols>
  <sheetData>
    <row r="1" spans="1:9" s="2" customFormat="1" ht="29.1" customHeight="1">
      <c r="A1" s="103" t="s">
        <v>5226</v>
      </c>
      <c r="B1" s="104"/>
      <c r="C1" s="105"/>
      <c r="D1" s="105"/>
      <c r="E1" s="105"/>
      <c r="F1" s="105"/>
      <c r="G1" s="105"/>
      <c r="H1" s="105"/>
      <c r="I1" s="106"/>
    </row>
    <row r="2" spans="1:9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9"/>
    </row>
    <row r="3" spans="1:9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6</v>
      </c>
      <c r="F3" s="114" t="s">
        <v>5227</v>
      </c>
      <c r="G3" s="114"/>
      <c r="H3" s="119" t="s">
        <v>2294</v>
      </c>
      <c r="I3" s="99" t="s">
        <v>12</v>
      </c>
    </row>
    <row r="4" spans="1:9" s="1" customFormat="1" ht="21" customHeight="1" thickBot="1">
      <c r="A4" s="111"/>
      <c r="B4" s="116"/>
      <c r="C4" s="113"/>
      <c r="D4" s="113"/>
      <c r="E4" s="113"/>
      <c r="F4" s="96" t="s">
        <v>3858</v>
      </c>
      <c r="G4" s="97" t="s">
        <v>3859</v>
      </c>
      <c r="H4" s="120"/>
      <c r="I4" s="100"/>
    </row>
    <row r="5" spans="1:9" ht="15.95">
      <c r="A5" s="101" t="s">
        <v>5228</v>
      </c>
      <c r="B5" s="101"/>
      <c r="C5" s="101"/>
      <c r="D5" s="101"/>
      <c r="E5" s="101"/>
      <c r="F5" s="101"/>
      <c r="G5" s="101"/>
      <c r="H5" s="101"/>
    </row>
    <row r="6" spans="1:9">
      <c r="A6" s="13" t="s">
        <v>15</v>
      </c>
      <c r="B6" s="11" t="s">
        <v>2876</v>
      </c>
      <c r="C6" s="11" t="s">
        <v>2877</v>
      </c>
      <c r="D6" s="11" t="s">
        <v>4845</v>
      </c>
      <c r="E6" s="11" t="s">
        <v>5229</v>
      </c>
      <c r="F6" s="13" t="s">
        <v>103</v>
      </c>
      <c r="G6" s="28">
        <v>22</v>
      </c>
      <c r="H6" s="28">
        <v>22</v>
      </c>
      <c r="I6" s="11" t="s">
        <v>158</v>
      </c>
    </row>
    <row r="7" spans="1:9">
      <c r="A7" s="20" t="s">
        <v>15</v>
      </c>
      <c r="B7" s="18" t="s">
        <v>4611</v>
      </c>
      <c r="C7" s="18" t="s">
        <v>4612</v>
      </c>
      <c r="D7" s="18" t="s">
        <v>2931</v>
      </c>
      <c r="E7" s="18" t="s">
        <v>91</v>
      </c>
      <c r="F7" s="20" t="s">
        <v>103</v>
      </c>
      <c r="G7" s="26">
        <v>10</v>
      </c>
      <c r="H7" s="26">
        <v>10</v>
      </c>
      <c r="I7" s="18" t="s">
        <v>4613</v>
      </c>
    </row>
    <row r="8" spans="1:9">
      <c r="B8" s="5" t="s">
        <v>40</v>
      </c>
    </row>
  </sheetData>
  <mergeCells count="10">
    <mergeCell ref="A5:H5"/>
    <mergeCell ref="B3:B4"/>
    <mergeCell ref="A1:I2"/>
    <mergeCell ref="A3:A4"/>
    <mergeCell ref="C3:C4"/>
    <mergeCell ref="D3:D4"/>
    <mergeCell ref="E3:E4"/>
    <mergeCell ref="F3:G3"/>
    <mergeCell ref="H3:H4"/>
    <mergeCell ref="I3:I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1"/>
  <sheetViews>
    <sheetView workbookViewId="0">
      <selection sqref="A1:I2"/>
    </sheetView>
  </sheetViews>
  <sheetFormatPr defaultColWidth="9.140625" defaultRowHeight="12.95"/>
  <cols>
    <col min="1" max="1" width="7.42578125" style="6" bestFit="1" customWidth="1"/>
    <col min="2" max="2" width="16.42578125" style="5" bestFit="1" customWidth="1"/>
    <col min="3" max="3" width="26.28515625" style="5" bestFit="1" customWidth="1"/>
    <col min="4" max="4" width="21.42578125" style="5" bestFit="1" customWidth="1"/>
    <col min="5" max="5" width="15.42578125" style="5" bestFit="1" customWidth="1"/>
    <col min="6" max="6" width="13.28515625" style="6" customWidth="1"/>
    <col min="7" max="7" width="16.7109375" style="25" customWidth="1"/>
    <col min="8" max="8" width="8.85546875" style="25" bestFit="1" customWidth="1"/>
    <col min="9" max="9" width="19.85546875" style="5" customWidth="1"/>
    <col min="10" max="16384" width="9.140625" style="3"/>
  </cols>
  <sheetData>
    <row r="1" spans="1:9" s="2" customFormat="1" ht="29.1" customHeight="1">
      <c r="A1" s="103" t="s">
        <v>5230</v>
      </c>
      <c r="B1" s="104"/>
      <c r="C1" s="105"/>
      <c r="D1" s="105"/>
      <c r="E1" s="105"/>
      <c r="F1" s="105"/>
      <c r="G1" s="105"/>
      <c r="H1" s="105"/>
      <c r="I1" s="106"/>
    </row>
    <row r="2" spans="1:9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9"/>
    </row>
    <row r="3" spans="1:9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6</v>
      </c>
      <c r="F3" s="114" t="s">
        <v>5227</v>
      </c>
      <c r="G3" s="114"/>
      <c r="H3" s="119" t="s">
        <v>3857</v>
      </c>
      <c r="I3" s="99" t="s">
        <v>12</v>
      </c>
    </row>
    <row r="4" spans="1:9" s="1" customFormat="1" ht="21" customHeight="1" thickBot="1">
      <c r="A4" s="111"/>
      <c r="B4" s="116"/>
      <c r="C4" s="113"/>
      <c r="D4" s="113"/>
      <c r="E4" s="113"/>
      <c r="F4" s="96" t="s">
        <v>3858</v>
      </c>
      <c r="G4" s="97" t="s">
        <v>3859</v>
      </c>
      <c r="H4" s="120"/>
      <c r="I4" s="100"/>
    </row>
    <row r="5" spans="1:9" ht="15.95">
      <c r="A5" s="101" t="s">
        <v>241</v>
      </c>
      <c r="B5" s="101"/>
      <c r="C5" s="101"/>
      <c r="D5" s="101"/>
      <c r="E5" s="101"/>
      <c r="F5" s="101"/>
      <c r="G5" s="101"/>
      <c r="H5" s="101"/>
    </row>
    <row r="6" spans="1:9">
      <c r="A6" s="10" t="s">
        <v>15</v>
      </c>
      <c r="B6" s="7" t="s">
        <v>5201</v>
      </c>
      <c r="C6" s="7" t="s">
        <v>5202</v>
      </c>
      <c r="D6" s="7" t="s">
        <v>5203</v>
      </c>
      <c r="E6" s="7" t="s">
        <v>633</v>
      </c>
      <c r="F6" s="10" t="s">
        <v>20</v>
      </c>
      <c r="G6" s="27">
        <v>18</v>
      </c>
      <c r="H6" s="27">
        <v>35</v>
      </c>
      <c r="I6" s="7" t="s">
        <v>158</v>
      </c>
    </row>
    <row r="7" spans="1:9">
      <c r="B7" s="5" t="s">
        <v>40</v>
      </c>
    </row>
    <row r="8" spans="1:9" ht="15.95">
      <c r="A8" s="102" t="s">
        <v>334</v>
      </c>
      <c r="B8" s="102"/>
      <c r="C8" s="102"/>
      <c r="D8" s="102"/>
      <c r="E8" s="102"/>
      <c r="F8" s="102"/>
      <c r="G8" s="102"/>
      <c r="H8" s="102"/>
    </row>
    <row r="9" spans="1:9">
      <c r="A9" s="10" t="s">
        <v>15</v>
      </c>
      <c r="B9" s="7" t="s">
        <v>5231</v>
      </c>
      <c r="C9" s="7" t="s">
        <v>5232</v>
      </c>
      <c r="D9" s="7" t="s">
        <v>5233</v>
      </c>
      <c r="E9" s="7" t="s">
        <v>91</v>
      </c>
      <c r="F9" s="10" t="s">
        <v>20</v>
      </c>
      <c r="G9" s="27">
        <v>25</v>
      </c>
      <c r="H9" s="27">
        <v>35</v>
      </c>
      <c r="I9" s="7" t="s">
        <v>5234</v>
      </c>
    </row>
    <row r="10" spans="1:9">
      <c r="B10" s="5" t="s">
        <v>40</v>
      </c>
    </row>
    <row r="11" spans="1:9">
      <c r="B11" s="5" t="s">
        <v>40</v>
      </c>
    </row>
  </sheetData>
  <mergeCells count="11">
    <mergeCell ref="A5:H5"/>
    <mergeCell ref="A8:H8"/>
    <mergeCell ref="B3:B4"/>
    <mergeCell ref="A1:I2"/>
    <mergeCell ref="A3:A4"/>
    <mergeCell ref="C3:C4"/>
    <mergeCell ref="D3:D4"/>
    <mergeCell ref="E3:E4"/>
    <mergeCell ref="F3:G3"/>
    <mergeCell ref="H3:H4"/>
    <mergeCell ref="I3:I4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4"/>
  <sheetViews>
    <sheetView workbookViewId="0">
      <selection sqref="A1:I2"/>
    </sheetView>
  </sheetViews>
  <sheetFormatPr defaultColWidth="9.140625" defaultRowHeight="12.95"/>
  <cols>
    <col min="1" max="1" width="7.42578125" style="6" bestFit="1" customWidth="1"/>
    <col min="2" max="2" width="17.42578125" style="5" bestFit="1" customWidth="1"/>
    <col min="3" max="3" width="28.42578125" style="5" bestFit="1" customWidth="1"/>
    <col min="4" max="4" width="21.42578125" style="5" bestFit="1" customWidth="1"/>
    <col min="5" max="5" width="21.28515625" style="5" customWidth="1"/>
    <col min="6" max="6" width="12" style="6" customWidth="1"/>
    <col min="7" max="7" width="16.42578125" style="25" customWidth="1"/>
    <col min="8" max="8" width="11.85546875" style="25" customWidth="1"/>
    <col min="9" max="9" width="15.7109375" style="5" bestFit="1" customWidth="1"/>
    <col min="10" max="16384" width="9.140625" style="3"/>
  </cols>
  <sheetData>
    <row r="1" spans="1:9" s="2" customFormat="1" ht="29.1" customHeight="1">
      <c r="A1" s="103" t="s">
        <v>5235</v>
      </c>
      <c r="B1" s="104"/>
      <c r="C1" s="105"/>
      <c r="D1" s="105"/>
      <c r="E1" s="105"/>
      <c r="F1" s="105"/>
      <c r="G1" s="105"/>
      <c r="H1" s="105"/>
      <c r="I1" s="106"/>
    </row>
    <row r="2" spans="1:9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9"/>
    </row>
    <row r="3" spans="1:9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6</v>
      </c>
      <c r="F3" s="114" t="s">
        <v>5227</v>
      </c>
      <c r="G3" s="114"/>
      <c r="H3" s="119" t="s">
        <v>2294</v>
      </c>
      <c r="I3" s="99" t="s">
        <v>12</v>
      </c>
    </row>
    <row r="4" spans="1:9" s="1" customFormat="1" ht="21" customHeight="1" thickBot="1">
      <c r="A4" s="111"/>
      <c r="B4" s="116"/>
      <c r="C4" s="113"/>
      <c r="D4" s="113"/>
      <c r="E4" s="113"/>
      <c r="F4" s="96" t="s">
        <v>3858</v>
      </c>
      <c r="G4" s="97" t="s">
        <v>3859</v>
      </c>
      <c r="H4" s="120"/>
      <c r="I4" s="100"/>
    </row>
    <row r="5" spans="1:9" ht="15.95">
      <c r="A5" s="101" t="s">
        <v>598</v>
      </c>
      <c r="B5" s="101"/>
      <c r="C5" s="101"/>
      <c r="D5" s="101"/>
      <c r="E5" s="101"/>
      <c r="F5" s="101"/>
      <c r="G5" s="101"/>
      <c r="H5" s="101"/>
    </row>
    <row r="6" spans="1:9">
      <c r="A6" s="10" t="s">
        <v>15</v>
      </c>
      <c r="B6" s="7" t="s">
        <v>2594</v>
      </c>
      <c r="C6" s="7" t="s">
        <v>2595</v>
      </c>
      <c r="D6" s="7" t="s">
        <v>657</v>
      </c>
      <c r="E6" s="7" t="s">
        <v>91</v>
      </c>
      <c r="F6" s="10" t="s">
        <v>24</v>
      </c>
      <c r="G6" s="27">
        <v>21</v>
      </c>
      <c r="H6" s="27">
        <v>21</v>
      </c>
      <c r="I6" s="7" t="s">
        <v>158</v>
      </c>
    </row>
    <row r="7" spans="1:9">
      <c r="B7" s="5" t="s">
        <v>40</v>
      </c>
    </row>
    <row r="8" spans="1:9" ht="15.95">
      <c r="A8" s="102" t="s">
        <v>670</v>
      </c>
      <c r="B8" s="102"/>
      <c r="C8" s="102"/>
      <c r="D8" s="102"/>
      <c r="E8" s="102"/>
      <c r="F8" s="102"/>
      <c r="G8" s="102"/>
      <c r="H8" s="102"/>
    </row>
    <row r="9" spans="1:9">
      <c r="A9" s="10" t="s">
        <v>15</v>
      </c>
      <c r="B9" s="7" t="s">
        <v>3539</v>
      </c>
      <c r="C9" s="7" t="s">
        <v>5219</v>
      </c>
      <c r="D9" s="7" t="s">
        <v>2816</v>
      </c>
      <c r="E9" s="7" t="s">
        <v>91</v>
      </c>
      <c r="F9" s="10" t="s">
        <v>24</v>
      </c>
      <c r="G9" s="27">
        <v>17</v>
      </c>
      <c r="H9" s="27">
        <v>17</v>
      </c>
      <c r="I9" s="7" t="s">
        <v>158</v>
      </c>
    </row>
    <row r="10" spans="1:9">
      <c r="B10" s="5" t="s">
        <v>40</v>
      </c>
    </row>
    <row r="11" spans="1:9" ht="15.95">
      <c r="A11" s="102" t="s">
        <v>5228</v>
      </c>
      <c r="B11" s="102"/>
      <c r="C11" s="102"/>
      <c r="D11" s="102"/>
      <c r="E11" s="102"/>
      <c r="F11" s="102"/>
      <c r="G11" s="102"/>
      <c r="H11" s="102"/>
    </row>
    <row r="12" spans="1:9">
      <c r="A12" s="10" t="s">
        <v>15</v>
      </c>
      <c r="B12" s="7" t="s">
        <v>5086</v>
      </c>
      <c r="C12" s="7" t="s">
        <v>5087</v>
      </c>
      <c r="D12" s="7" t="s">
        <v>5088</v>
      </c>
      <c r="E12" s="7" t="s">
        <v>1590</v>
      </c>
      <c r="F12" s="10" t="s">
        <v>24</v>
      </c>
      <c r="G12" s="27">
        <v>12</v>
      </c>
      <c r="H12" s="27">
        <v>12</v>
      </c>
      <c r="I12" s="7" t="s">
        <v>158</v>
      </c>
    </row>
    <row r="13" spans="1:9">
      <c r="B13" s="5" t="s">
        <v>40</v>
      </c>
    </row>
    <row r="14" spans="1:9">
      <c r="B14" s="5" t="s">
        <v>40</v>
      </c>
    </row>
  </sheetData>
  <mergeCells count="12">
    <mergeCell ref="A11:H11"/>
    <mergeCell ref="B3:B4"/>
    <mergeCell ref="A1:I2"/>
    <mergeCell ref="A3:A4"/>
    <mergeCell ref="C3:C4"/>
    <mergeCell ref="D3:D4"/>
    <mergeCell ref="E3:E4"/>
    <mergeCell ref="F3:G3"/>
    <mergeCell ref="H3:H4"/>
    <mergeCell ref="I3:I4"/>
    <mergeCell ref="A5:H5"/>
    <mergeCell ref="A8:H8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9"/>
  <sheetViews>
    <sheetView workbookViewId="0">
      <selection sqref="A1:I2"/>
    </sheetView>
  </sheetViews>
  <sheetFormatPr defaultColWidth="9.140625" defaultRowHeight="12.95"/>
  <cols>
    <col min="1" max="1" width="7.42578125" style="6" bestFit="1" customWidth="1"/>
    <col min="2" max="2" width="20.28515625" style="5" bestFit="1" customWidth="1"/>
    <col min="3" max="3" width="28.42578125" style="5" bestFit="1" customWidth="1"/>
    <col min="4" max="4" width="21.42578125" style="5" bestFit="1" customWidth="1"/>
    <col min="5" max="5" width="23.85546875" style="5" customWidth="1"/>
    <col min="6" max="6" width="11.7109375" style="6" customWidth="1"/>
    <col min="7" max="7" width="17.28515625" style="25" customWidth="1"/>
    <col min="8" max="8" width="13.7109375" style="25" customWidth="1"/>
    <col min="9" max="9" width="19.140625" style="5" customWidth="1"/>
    <col min="10" max="16384" width="9.140625" style="3"/>
  </cols>
  <sheetData>
    <row r="1" spans="1:9" s="2" customFormat="1" ht="29.1" customHeight="1">
      <c r="A1" s="103" t="s">
        <v>5236</v>
      </c>
      <c r="B1" s="104"/>
      <c r="C1" s="105"/>
      <c r="D1" s="105"/>
      <c r="E1" s="105"/>
      <c r="F1" s="105"/>
      <c r="G1" s="105"/>
      <c r="H1" s="105"/>
      <c r="I1" s="106"/>
    </row>
    <row r="2" spans="1:9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9"/>
    </row>
    <row r="3" spans="1:9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6</v>
      </c>
      <c r="F3" s="114" t="s">
        <v>5227</v>
      </c>
      <c r="G3" s="114"/>
      <c r="H3" s="119" t="s">
        <v>3857</v>
      </c>
      <c r="I3" s="99" t="s">
        <v>12</v>
      </c>
    </row>
    <row r="4" spans="1:9" s="1" customFormat="1" ht="21" customHeight="1" thickBot="1">
      <c r="A4" s="111"/>
      <c r="B4" s="116"/>
      <c r="C4" s="113"/>
      <c r="D4" s="113"/>
      <c r="E4" s="113"/>
      <c r="F4" s="96" t="s">
        <v>3858</v>
      </c>
      <c r="G4" s="97" t="s">
        <v>3859</v>
      </c>
      <c r="H4" s="120"/>
      <c r="I4" s="100"/>
    </row>
    <row r="5" spans="1:9" ht="15.95">
      <c r="A5" s="101" t="s">
        <v>195</v>
      </c>
      <c r="B5" s="101"/>
      <c r="C5" s="101"/>
      <c r="D5" s="101"/>
      <c r="E5" s="101"/>
      <c r="F5" s="101"/>
      <c r="G5" s="101"/>
      <c r="H5" s="101"/>
    </row>
    <row r="6" spans="1:9">
      <c r="A6" s="10" t="s">
        <v>15</v>
      </c>
      <c r="B6" s="7" t="s">
        <v>5223</v>
      </c>
      <c r="C6" s="7" t="s">
        <v>5224</v>
      </c>
      <c r="D6" s="7" t="s">
        <v>231</v>
      </c>
      <c r="E6" s="7" t="s">
        <v>5225</v>
      </c>
      <c r="F6" s="10" t="s">
        <v>5061</v>
      </c>
      <c r="G6" s="27">
        <v>12</v>
      </c>
      <c r="H6" s="27">
        <v>12</v>
      </c>
      <c r="I6" s="7" t="s">
        <v>158</v>
      </c>
    </row>
    <row r="7" spans="1:9">
      <c r="B7" s="5" t="s">
        <v>40</v>
      </c>
    </row>
    <row r="8" spans="1:9" ht="15.95">
      <c r="A8" s="102" t="s">
        <v>301</v>
      </c>
      <c r="B8" s="102"/>
      <c r="C8" s="102"/>
      <c r="D8" s="102"/>
      <c r="E8" s="102"/>
      <c r="F8" s="102"/>
      <c r="G8" s="102"/>
      <c r="H8" s="102"/>
    </row>
    <row r="9" spans="1:9">
      <c r="A9" s="10" t="s">
        <v>15</v>
      </c>
      <c r="B9" s="7" t="s">
        <v>3983</v>
      </c>
      <c r="C9" s="7" t="s">
        <v>3987</v>
      </c>
      <c r="D9" s="7" t="s">
        <v>304</v>
      </c>
      <c r="E9" s="7" t="s">
        <v>66</v>
      </c>
      <c r="F9" s="10" t="s">
        <v>5061</v>
      </c>
      <c r="G9" s="27">
        <v>41</v>
      </c>
      <c r="H9" s="27">
        <v>41</v>
      </c>
      <c r="I9" s="7" t="s">
        <v>158</v>
      </c>
    </row>
    <row r="10" spans="1:9">
      <c r="B10" s="5" t="s">
        <v>40</v>
      </c>
    </row>
    <row r="11" spans="1:9" ht="15.95">
      <c r="A11" s="102" t="s">
        <v>334</v>
      </c>
      <c r="B11" s="102"/>
      <c r="C11" s="102"/>
      <c r="D11" s="102"/>
      <c r="E11" s="102"/>
      <c r="F11" s="102"/>
      <c r="G11" s="102"/>
      <c r="H11" s="102"/>
    </row>
    <row r="12" spans="1:9">
      <c r="A12" s="10" t="s">
        <v>15</v>
      </c>
      <c r="B12" s="7" t="s">
        <v>4779</v>
      </c>
      <c r="C12" s="7" t="s">
        <v>4780</v>
      </c>
      <c r="D12" s="7" t="s">
        <v>512</v>
      </c>
      <c r="E12" s="7" t="s">
        <v>4781</v>
      </c>
      <c r="F12" s="10" t="s">
        <v>5061</v>
      </c>
      <c r="G12" s="27">
        <v>9</v>
      </c>
      <c r="H12" s="27">
        <v>15</v>
      </c>
      <c r="I12" s="7" t="s">
        <v>158</v>
      </c>
    </row>
    <row r="13" spans="1:9">
      <c r="B13" s="5" t="s">
        <v>40</v>
      </c>
    </row>
    <row r="14" spans="1:9" ht="15.95">
      <c r="A14" s="102" t="s">
        <v>598</v>
      </c>
      <c r="B14" s="102"/>
      <c r="C14" s="102"/>
      <c r="D14" s="102"/>
      <c r="E14" s="102"/>
      <c r="F14" s="102"/>
      <c r="G14" s="102"/>
      <c r="H14" s="102"/>
    </row>
    <row r="15" spans="1:9">
      <c r="A15" s="10" t="s">
        <v>15</v>
      </c>
      <c r="B15" s="7" t="s">
        <v>5237</v>
      </c>
      <c r="C15" s="7" t="s">
        <v>4605</v>
      </c>
      <c r="D15" s="7" t="s">
        <v>1474</v>
      </c>
      <c r="E15" s="7" t="s">
        <v>720</v>
      </c>
      <c r="F15" s="10" t="s">
        <v>5061</v>
      </c>
      <c r="G15" s="27">
        <v>13</v>
      </c>
      <c r="H15" s="27">
        <v>15</v>
      </c>
      <c r="I15" s="7" t="s">
        <v>5238</v>
      </c>
    </row>
    <row r="16" spans="1:9">
      <c r="B16" s="5" t="s">
        <v>40</v>
      </c>
    </row>
    <row r="17" spans="1:9" ht="15.95">
      <c r="A17" s="102" t="s">
        <v>670</v>
      </c>
      <c r="B17" s="102"/>
      <c r="C17" s="102"/>
      <c r="D17" s="102"/>
      <c r="E17" s="102"/>
      <c r="F17" s="102"/>
      <c r="G17" s="102"/>
      <c r="H17" s="102"/>
    </row>
    <row r="18" spans="1:9">
      <c r="A18" s="10" t="s">
        <v>15</v>
      </c>
      <c r="B18" s="7" t="s">
        <v>5052</v>
      </c>
      <c r="C18" s="7" t="s">
        <v>5053</v>
      </c>
      <c r="D18" s="7" t="s">
        <v>5054</v>
      </c>
      <c r="E18" s="7" t="s">
        <v>96</v>
      </c>
      <c r="F18" s="10" t="s">
        <v>5061</v>
      </c>
      <c r="G18" s="27">
        <v>15</v>
      </c>
      <c r="H18" s="27">
        <v>15</v>
      </c>
      <c r="I18" s="7" t="s">
        <v>158</v>
      </c>
    </row>
    <row r="19" spans="1:9">
      <c r="B19" s="5" t="s">
        <v>40</v>
      </c>
    </row>
  </sheetData>
  <mergeCells count="14">
    <mergeCell ref="A14:H14"/>
    <mergeCell ref="A17:H17"/>
    <mergeCell ref="B3:B4"/>
    <mergeCell ref="H3:H4"/>
    <mergeCell ref="I3:I4"/>
    <mergeCell ref="A5:H5"/>
    <mergeCell ref="A8:H8"/>
    <mergeCell ref="A11:H11"/>
    <mergeCell ref="A1:I2"/>
    <mergeCell ref="A3:A4"/>
    <mergeCell ref="C3:C4"/>
    <mergeCell ref="D3:D4"/>
    <mergeCell ref="E3:E4"/>
    <mergeCell ref="F3:G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4"/>
  <sheetViews>
    <sheetView workbookViewId="0">
      <selection sqref="A1:U2"/>
    </sheetView>
  </sheetViews>
  <sheetFormatPr defaultColWidth="9.140625" defaultRowHeight="12.95"/>
  <cols>
    <col min="1" max="1" width="7.42578125" style="6" bestFit="1" customWidth="1"/>
    <col min="2" max="2" width="19.42578125" style="5" bestFit="1" customWidth="1"/>
    <col min="3" max="3" width="26.28515625" style="5" bestFit="1" customWidth="1"/>
    <col min="4" max="4" width="21.42578125" style="5" bestFit="1" customWidth="1"/>
    <col min="5" max="5" width="10.42578125" style="5" bestFit="1" customWidth="1"/>
    <col min="6" max="6" width="21.7109375" style="5" bestFit="1" customWidth="1"/>
    <col min="7" max="18" width="5.42578125" style="6" bestFit="1" customWidth="1"/>
    <col min="19" max="19" width="7.85546875" style="39" bestFit="1" customWidth="1"/>
    <col min="20" max="20" width="8.42578125" style="6" bestFit="1" customWidth="1"/>
    <col min="21" max="21" width="17.42578125" style="5" bestFit="1" customWidth="1"/>
    <col min="22" max="16384" width="9.140625" style="3"/>
  </cols>
  <sheetData>
    <row r="1" spans="1:21" s="2" customFormat="1" ht="29.1" customHeight="1">
      <c r="A1" s="103" t="s">
        <v>5239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/>
    </row>
    <row r="2" spans="1:21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9"/>
    </row>
    <row r="3" spans="1:21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5</v>
      </c>
      <c r="F3" s="114" t="s">
        <v>6</v>
      </c>
      <c r="G3" s="114" t="s">
        <v>7</v>
      </c>
      <c r="H3" s="114"/>
      <c r="I3" s="114"/>
      <c r="J3" s="114"/>
      <c r="K3" s="114" t="s">
        <v>8</v>
      </c>
      <c r="L3" s="114"/>
      <c r="M3" s="114"/>
      <c r="N3" s="114"/>
      <c r="O3" s="114" t="s">
        <v>9</v>
      </c>
      <c r="P3" s="114"/>
      <c r="Q3" s="114"/>
      <c r="R3" s="114"/>
      <c r="S3" s="117" t="s">
        <v>10</v>
      </c>
      <c r="T3" s="114" t="s">
        <v>11</v>
      </c>
      <c r="U3" s="99" t="s">
        <v>12</v>
      </c>
    </row>
    <row r="4" spans="1:21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96">
        <v>1</v>
      </c>
      <c r="L4" s="96">
        <v>2</v>
      </c>
      <c r="M4" s="96">
        <v>3</v>
      </c>
      <c r="N4" s="96" t="s">
        <v>13</v>
      </c>
      <c r="O4" s="96">
        <v>1</v>
      </c>
      <c r="P4" s="96">
        <v>2</v>
      </c>
      <c r="Q4" s="96">
        <v>3</v>
      </c>
      <c r="R4" s="96" t="s">
        <v>13</v>
      </c>
      <c r="S4" s="118"/>
      <c r="T4" s="113"/>
      <c r="U4" s="100"/>
    </row>
    <row r="5" spans="1:21" ht="15.95">
      <c r="A5" s="101" t="s">
        <v>241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1:21">
      <c r="A6" s="10" t="s">
        <v>15</v>
      </c>
      <c r="B6" s="7" t="s">
        <v>5240</v>
      </c>
      <c r="C6" s="7" t="s">
        <v>4527</v>
      </c>
      <c r="D6" s="7" t="s">
        <v>2444</v>
      </c>
      <c r="E6" s="7" t="str">
        <f>"0,8133"</f>
        <v>0,8133</v>
      </c>
      <c r="F6" s="7" t="s">
        <v>594</v>
      </c>
      <c r="G6" s="9" t="s">
        <v>490</v>
      </c>
      <c r="H6" s="8" t="s">
        <v>490</v>
      </c>
      <c r="I6" s="9" t="s">
        <v>523</v>
      </c>
      <c r="J6" s="9" t="s">
        <v>523</v>
      </c>
      <c r="K6" s="8" t="s">
        <v>151</v>
      </c>
      <c r="L6" s="8" t="s">
        <v>248</v>
      </c>
      <c r="M6" s="8" t="s">
        <v>351</v>
      </c>
      <c r="N6" s="9" t="s">
        <v>398</v>
      </c>
      <c r="O6" s="8" t="s">
        <v>523</v>
      </c>
      <c r="P6" s="9" t="s">
        <v>640</v>
      </c>
      <c r="Q6" s="9" t="s">
        <v>640</v>
      </c>
      <c r="R6" s="9" t="s">
        <v>640</v>
      </c>
      <c r="S6" s="41" t="str">
        <f>"685,0"</f>
        <v>685,0</v>
      </c>
      <c r="T6" s="10" t="str">
        <f>"557,1105"</f>
        <v>557,1105</v>
      </c>
      <c r="U6" s="7" t="s">
        <v>158</v>
      </c>
    </row>
    <row r="7" spans="1:21">
      <c r="B7" s="5" t="s">
        <v>40</v>
      </c>
    </row>
    <row r="8" spans="1:21" ht="15.95">
      <c r="A8" s="102" t="s">
        <v>334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</row>
    <row r="9" spans="1:21">
      <c r="A9" s="13" t="s">
        <v>15</v>
      </c>
      <c r="B9" s="11" t="s">
        <v>5241</v>
      </c>
      <c r="C9" s="11" t="s">
        <v>5242</v>
      </c>
      <c r="D9" s="11" t="s">
        <v>539</v>
      </c>
      <c r="E9" s="11" t="str">
        <f>"0,6729"</f>
        <v>0,6729</v>
      </c>
      <c r="F9" s="11" t="s">
        <v>2891</v>
      </c>
      <c r="G9" s="21" t="s">
        <v>804</v>
      </c>
      <c r="H9" s="21" t="s">
        <v>804</v>
      </c>
      <c r="I9" s="12" t="s">
        <v>804</v>
      </c>
      <c r="J9" s="12" t="s">
        <v>1043</v>
      </c>
      <c r="K9" s="12" t="s">
        <v>152</v>
      </c>
      <c r="L9" s="12" t="s">
        <v>550</v>
      </c>
      <c r="M9" s="12" t="s">
        <v>398</v>
      </c>
      <c r="N9" s="21" t="s">
        <v>368</v>
      </c>
      <c r="O9" s="12" t="s">
        <v>1329</v>
      </c>
      <c r="P9" s="12" t="s">
        <v>1345</v>
      </c>
      <c r="Q9" s="21" t="s">
        <v>1335</v>
      </c>
      <c r="R9" s="21" t="s">
        <v>1335</v>
      </c>
      <c r="S9" s="37" t="str">
        <f>"880,0"</f>
        <v>880,0</v>
      </c>
      <c r="T9" s="13" t="str">
        <f>"592,1520"</f>
        <v>592,1520</v>
      </c>
      <c r="U9" s="11" t="s">
        <v>1054</v>
      </c>
    </row>
    <row r="10" spans="1:21">
      <c r="A10" s="17" t="s">
        <v>62</v>
      </c>
      <c r="B10" s="14" t="s">
        <v>5243</v>
      </c>
      <c r="C10" s="14" t="s">
        <v>5244</v>
      </c>
      <c r="D10" s="14" t="s">
        <v>567</v>
      </c>
      <c r="E10" s="14" t="str">
        <f>"0,6699"</f>
        <v>0,6699</v>
      </c>
      <c r="F10" s="14" t="s">
        <v>1694</v>
      </c>
      <c r="G10" s="16" t="s">
        <v>5245</v>
      </c>
      <c r="H10" s="15" t="s">
        <v>5245</v>
      </c>
      <c r="I10" s="16" t="s">
        <v>1142</v>
      </c>
      <c r="J10" s="15" t="s">
        <v>1142</v>
      </c>
      <c r="K10" s="15" t="s">
        <v>151</v>
      </c>
      <c r="L10" s="15" t="s">
        <v>347</v>
      </c>
      <c r="M10" s="15" t="s">
        <v>550</v>
      </c>
      <c r="N10" s="16" t="s">
        <v>351</v>
      </c>
      <c r="O10" s="15" t="s">
        <v>1030</v>
      </c>
      <c r="P10" s="15" t="s">
        <v>839</v>
      </c>
      <c r="Q10" s="16" t="s">
        <v>1151</v>
      </c>
      <c r="R10" s="16" t="s">
        <v>1229</v>
      </c>
      <c r="S10" s="40" t="str">
        <f>"857,5"</f>
        <v>857,5</v>
      </c>
      <c r="T10" s="17" t="str">
        <f>"574,4393"</f>
        <v>574,4393</v>
      </c>
      <c r="U10" s="14" t="s">
        <v>158</v>
      </c>
    </row>
    <row r="11" spans="1:21">
      <c r="A11" s="20" t="s">
        <v>73</v>
      </c>
      <c r="B11" s="18" t="s">
        <v>5246</v>
      </c>
      <c r="C11" s="18" t="s">
        <v>1495</v>
      </c>
      <c r="D11" s="18" t="s">
        <v>1685</v>
      </c>
      <c r="E11" s="18" t="str">
        <f>"0,6734"</f>
        <v>0,6734</v>
      </c>
      <c r="F11" s="18" t="s">
        <v>528</v>
      </c>
      <c r="G11" s="22" t="s">
        <v>640</v>
      </c>
      <c r="H11" s="19" t="s">
        <v>640</v>
      </c>
      <c r="I11" s="22" t="s">
        <v>822</v>
      </c>
      <c r="J11" s="22" t="s">
        <v>822</v>
      </c>
      <c r="K11" s="19" t="s">
        <v>5247</v>
      </c>
      <c r="L11" s="19" t="s">
        <v>458</v>
      </c>
      <c r="M11" s="22" t="s">
        <v>453</v>
      </c>
      <c r="N11" s="22" t="s">
        <v>453</v>
      </c>
      <c r="O11" s="22" t="s">
        <v>804</v>
      </c>
      <c r="P11" s="19" t="s">
        <v>804</v>
      </c>
      <c r="Q11" s="22" t="s">
        <v>1086</v>
      </c>
      <c r="R11" s="22" t="s">
        <v>1086</v>
      </c>
      <c r="S11" s="38" t="str">
        <f>"752,5"</f>
        <v>752,5</v>
      </c>
      <c r="T11" s="20" t="str">
        <f>"506,7335"</f>
        <v>506,7335</v>
      </c>
      <c r="U11" s="18" t="s">
        <v>158</v>
      </c>
    </row>
    <row r="12" spans="1:21">
      <c r="B12" s="5" t="s">
        <v>40</v>
      </c>
    </row>
    <row r="13" spans="1:21" ht="15.95">
      <c r="A13" s="102" t="s">
        <v>598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</row>
    <row r="14" spans="1:21">
      <c r="A14" s="13" t="s">
        <v>15</v>
      </c>
      <c r="B14" s="11" t="s">
        <v>5248</v>
      </c>
      <c r="C14" s="11" t="s">
        <v>5249</v>
      </c>
      <c r="D14" s="11" t="s">
        <v>2041</v>
      </c>
      <c r="E14" s="11" t="str">
        <f>"0,6398"</f>
        <v>0,6398</v>
      </c>
      <c r="F14" s="11" t="s">
        <v>1041</v>
      </c>
      <c r="G14" s="12" t="s">
        <v>1086</v>
      </c>
      <c r="H14" s="21" t="s">
        <v>1151</v>
      </c>
      <c r="I14" s="21" t="s">
        <v>1151</v>
      </c>
      <c r="J14" s="13"/>
      <c r="K14" s="12" t="s">
        <v>436</v>
      </c>
      <c r="L14" s="21" t="s">
        <v>420</v>
      </c>
      <c r="M14" s="21" t="s">
        <v>420</v>
      </c>
      <c r="N14" s="13"/>
      <c r="O14" s="12" t="s">
        <v>738</v>
      </c>
      <c r="P14" s="12" t="s">
        <v>999</v>
      </c>
      <c r="Q14" s="12" t="s">
        <v>746</v>
      </c>
      <c r="R14" s="12" t="s">
        <v>1241</v>
      </c>
      <c r="S14" s="37" t="str">
        <f>"832,5"</f>
        <v>832,5</v>
      </c>
      <c r="T14" s="13" t="str">
        <f>"532,6335"</f>
        <v>532,6335</v>
      </c>
      <c r="U14" s="11" t="s">
        <v>158</v>
      </c>
    </row>
    <row r="15" spans="1:21">
      <c r="A15" s="20" t="s">
        <v>62</v>
      </c>
      <c r="B15" s="18" t="s">
        <v>5250</v>
      </c>
      <c r="C15" s="18" t="s">
        <v>5251</v>
      </c>
      <c r="D15" s="18" t="s">
        <v>653</v>
      </c>
      <c r="E15" s="18" t="str">
        <f>"0,6475"</f>
        <v>0,6475</v>
      </c>
      <c r="F15" s="18" t="s">
        <v>1461</v>
      </c>
      <c r="G15" s="22" t="s">
        <v>1078</v>
      </c>
      <c r="H15" s="19" t="s">
        <v>1078</v>
      </c>
      <c r="I15" s="22" t="s">
        <v>1151</v>
      </c>
      <c r="J15" s="22" t="s">
        <v>1151</v>
      </c>
      <c r="K15" s="19" t="s">
        <v>383</v>
      </c>
      <c r="L15" s="22" t="s">
        <v>399</v>
      </c>
      <c r="M15" s="22" t="s">
        <v>399</v>
      </c>
      <c r="N15" s="22" t="s">
        <v>399</v>
      </c>
      <c r="O15" s="19" t="s">
        <v>1005</v>
      </c>
      <c r="P15" s="19" t="s">
        <v>1030</v>
      </c>
      <c r="Q15" s="22" t="s">
        <v>824</v>
      </c>
      <c r="R15" s="22" t="s">
        <v>805</v>
      </c>
      <c r="S15" s="38" t="str">
        <f>"815,0"</f>
        <v>815,0</v>
      </c>
      <c r="T15" s="20" t="str">
        <f>"527,7125"</f>
        <v>527,7125</v>
      </c>
      <c r="U15" s="18" t="s">
        <v>5252</v>
      </c>
    </row>
    <row r="16" spans="1:21">
      <c r="B16" s="5" t="s">
        <v>40</v>
      </c>
    </row>
    <row r="17" spans="1:21" ht="15.95">
      <c r="A17" s="102" t="s">
        <v>670</v>
      </c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1:21">
      <c r="A18" s="13" t="s">
        <v>15</v>
      </c>
      <c r="B18" s="11" t="s">
        <v>5253</v>
      </c>
      <c r="C18" s="11" t="s">
        <v>4089</v>
      </c>
      <c r="D18" s="11" t="s">
        <v>1147</v>
      </c>
      <c r="E18" s="11" t="str">
        <f>"0,6118"</f>
        <v>0,6118</v>
      </c>
      <c r="F18" s="11" t="s">
        <v>1936</v>
      </c>
      <c r="G18" s="12" t="s">
        <v>842</v>
      </c>
      <c r="H18" s="12" t="s">
        <v>1229</v>
      </c>
      <c r="I18" s="12" t="s">
        <v>1142</v>
      </c>
      <c r="J18" s="13"/>
      <c r="K18" s="12" t="s">
        <v>420</v>
      </c>
      <c r="L18" s="12" t="s">
        <v>421</v>
      </c>
      <c r="M18" s="21" t="s">
        <v>422</v>
      </c>
      <c r="N18" s="13"/>
      <c r="O18" s="12" t="s">
        <v>842</v>
      </c>
      <c r="P18" s="12" t="s">
        <v>1142</v>
      </c>
      <c r="Q18" s="12" t="s">
        <v>1339</v>
      </c>
      <c r="R18" s="13"/>
      <c r="S18" s="37" t="str">
        <f>"960,0"</f>
        <v>960,0</v>
      </c>
      <c r="T18" s="13" t="str">
        <f>"587,3280"</f>
        <v>587,3280</v>
      </c>
      <c r="U18" s="11" t="s">
        <v>158</v>
      </c>
    </row>
    <row r="19" spans="1:21">
      <c r="A19" s="17" t="s">
        <v>62</v>
      </c>
      <c r="B19" s="14" t="s">
        <v>1763</v>
      </c>
      <c r="C19" s="14" t="s">
        <v>1764</v>
      </c>
      <c r="D19" s="14" t="s">
        <v>1765</v>
      </c>
      <c r="E19" s="14" t="str">
        <f>"0,6096"</f>
        <v>0,6096</v>
      </c>
      <c r="F19" s="14" t="s">
        <v>270</v>
      </c>
      <c r="G19" s="15" t="s">
        <v>839</v>
      </c>
      <c r="H19" s="15" t="s">
        <v>1229</v>
      </c>
      <c r="I19" s="16" t="s">
        <v>1329</v>
      </c>
      <c r="J19" s="17"/>
      <c r="K19" s="15" t="s">
        <v>495</v>
      </c>
      <c r="L19" s="15" t="s">
        <v>385</v>
      </c>
      <c r="M19" s="15" t="s">
        <v>1766</v>
      </c>
      <c r="N19" s="17"/>
      <c r="O19" s="15" t="s">
        <v>839</v>
      </c>
      <c r="P19" s="15" t="s">
        <v>1767</v>
      </c>
      <c r="Q19" s="16" t="s">
        <v>1768</v>
      </c>
      <c r="R19" s="17"/>
      <c r="S19" s="40" t="str">
        <f>"929,0"</f>
        <v>929,0</v>
      </c>
      <c r="T19" s="17" t="str">
        <f>"566,3184"</f>
        <v>566,3184</v>
      </c>
      <c r="U19" s="14" t="s">
        <v>158</v>
      </c>
    </row>
    <row r="20" spans="1:21">
      <c r="A20" s="17" t="s">
        <v>73</v>
      </c>
      <c r="B20" s="14" t="s">
        <v>5254</v>
      </c>
      <c r="C20" s="14" t="s">
        <v>5255</v>
      </c>
      <c r="D20" s="14" t="s">
        <v>1137</v>
      </c>
      <c r="E20" s="14" t="str">
        <f>"0,6163"</f>
        <v>0,6163</v>
      </c>
      <c r="F20" s="14" t="s">
        <v>2868</v>
      </c>
      <c r="G20" s="16" t="s">
        <v>1151</v>
      </c>
      <c r="H20" s="15" t="s">
        <v>1229</v>
      </c>
      <c r="I20" s="16" t="s">
        <v>1142</v>
      </c>
      <c r="J20" s="17"/>
      <c r="K20" s="15" t="s">
        <v>436</v>
      </c>
      <c r="L20" s="15" t="s">
        <v>420</v>
      </c>
      <c r="M20" s="16" t="s">
        <v>385</v>
      </c>
      <c r="N20" s="16" t="s">
        <v>385</v>
      </c>
      <c r="O20" s="15" t="s">
        <v>1151</v>
      </c>
      <c r="P20" s="16" t="s">
        <v>842</v>
      </c>
      <c r="Q20" s="16" t="s">
        <v>842</v>
      </c>
      <c r="R20" s="16" t="s">
        <v>842</v>
      </c>
      <c r="S20" s="40" t="str">
        <f>"900,0"</f>
        <v>900,0</v>
      </c>
      <c r="T20" s="17" t="str">
        <f>"554,6700"</f>
        <v>554,6700</v>
      </c>
      <c r="U20" s="14" t="s">
        <v>158</v>
      </c>
    </row>
    <row r="21" spans="1:21">
      <c r="A21" s="17" t="s">
        <v>75</v>
      </c>
      <c r="B21" s="14" t="s">
        <v>5256</v>
      </c>
      <c r="C21" s="14" t="s">
        <v>5257</v>
      </c>
      <c r="D21" s="14" t="s">
        <v>1791</v>
      </c>
      <c r="E21" s="14" t="str">
        <f>"0,6158"</f>
        <v>0,6158</v>
      </c>
      <c r="F21" s="14" t="s">
        <v>5258</v>
      </c>
      <c r="G21" s="15" t="s">
        <v>1078</v>
      </c>
      <c r="H21" s="16" t="s">
        <v>1151</v>
      </c>
      <c r="I21" s="15" t="s">
        <v>1151</v>
      </c>
      <c r="J21" s="15" t="s">
        <v>842</v>
      </c>
      <c r="K21" s="15" t="s">
        <v>399</v>
      </c>
      <c r="L21" s="15" t="s">
        <v>436</v>
      </c>
      <c r="M21" s="15" t="s">
        <v>420</v>
      </c>
      <c r="N21" s="16" t="s">
        <v>385</v>
      </c>
      <c r="O21" s="15" t="s">
        <v>1086</v>
      </c>
      <c r="P21" s="15" t="s">
        <v>842</v>
      </c>
      <c r="Q21" s="16" t="s">
        <v>1141</v>
      </c>
      <c r="R21" s="17"/>
      <c r="S21" s="40" t="str">
        <f>"900,0"</f>
        <v>900,0</v>
      </c>
      <c r="T21" s="17" t="str">
        <f>"554,2200"</f>
        <v>554,2200</v>
      </c>
      <c r="U21" s="14" t="s">
        <v>158</v>
      </c>
    </row>
    <row r="22" spans="1:21">
      <c r="A22" s="17" t="s">
        <v>87</v>
      </c>
      <c r="B22" s="14" t="s">
        <v>1138</v>
      </c>
      <c r="C22" s="14" t="s">
        <v>1139</v>
      </c>
      <c r="D22" s="14" t="s">
        <v>719</v>
      </c>
      <c r="E22" s="14" t="str">
        <f>"0,6150"</f>
        <v>0,6150</v>
      </c>
      <c r="F22" s="14" t="s">
        <v>1140</v>
      </c>
      <c r="G22" s="16" t="s">
        <v>1030</v>
      </c>
      <c r="H22" s="15" t="s">
        <v>1030</v>
      </c>
      <c r="I22" s="16" t="s">
        <v>824</v>
      </c>
      <c r="J22" s="17"/>
      <c r="K22" s="15" t="s">
        <v>385</v>
      </c>
      <c r="L22" s="15" t="s">
        <v>507</v>
      </c>
      <c r="M22" s="16" t="s">
        <v>421</v>
      </c>
      <c r="N22" s="17"/>
      <c r="O22" s="15" t="s">
        <v>842</v>
      </c>
      <c r="P22" s="15" t="s">
        <v>1141</v>
      </c>
      <c r="Q22" s="16" t="s">
        <v>1142</v>
      </c>
      <c r="R22" s="17"/>
      <c r="S22" s="40" t="str">
        <f>"887,5"</f>
        <v>887,5</v>
      </c>
      <c r="T22" s="17" t="str">
        <f>"545,8125"</f>
        <v>545,8125</v>
      </c>
      <c r="U22" s="14" t="s">
        <v>896</v>
      </c>
    </row>
    <row r="23" spans="1:21">
      <c r="A23" s="17" t="s">
        <v>168</v>
      </c>
      <c r="B23" s="14" t="s">
        <v>5259</v>
      </c>
      <c r="C23" s="14" t="s">
        <v>5260</v>
      </c>
      <c r="D23" s="14" t="s">
        <v>686</v>
      </c>
      <c r="E23" s="14" t="str">
        <f>"0,6113"</f>
        <v>0,6113</v>
      </c>
      <c r="F23" s="14" t="s">
        <v>1155</v>
      </c>
      <c r="G23" s="15" t="s">
        <v>804</v>
      </c>
      <c r="H23" s="15" t="s">
        <v>1086</v>
      </c>
      <c r="I23" s="15" t="s">
        <v>1087</v>
      </c>
      <c r="J23" s="15" t="s">
        <v>1292</v>
      </c>
      <c r="K23" s="15" t="s">
        <v>351</v>
      </c>
      <c r="L23" s="16" t="s">
        <v>368</v>
      </c>
      <c r="M23" s="15" t="s">
        <v>368</v>
      </c>
      <c r="N23" s="17"/>
      <c r="O23" s="15" t="s">
        <v>804</v>
      </c>
      <c r="P23" s="15" t="s">
        <v>1086</v>
      </c>
      <c r="Q23" s="15" t="s">
        <v>842</v>
      </c>
      <c r="R23" s="16" t="s">
        <v>1142</v>
      </c>
      <c r="S23" s="40" t="str">
        <f>"870,0"</f>
        <v>870,0</v>
      </c>
      <c r="T23" s="17" t="str">
        <f>"531,8310"</f>
        <v>531,8310</v>
      </c>
      <c r="U23" s="14" t="s">
        <v>1156</v>
      </c>
    </row>
    <row r="24" spans="1:21">
      <c r="A24" s="17" t="s">
        <v>172</v>
      </c>
      <c r="B24" s="14" t="s">
        <v>5261</v>
      </c>
      <c r="C24" s="14" t="s">
        <v>3582</v>
      </c>
      <c r="D24" s="14" t="s">
        <v>5166</v>
      </c>
      <c r="E24" s="14" t="str">
        <f>"0,6203"</f>
        <v>0,6203</v>
      </c>
      <c r="F24" s="14" t="s">
        <v>5262</v>
      </c>
      <c r="G24" s="15" t="s">
        <v>1151</v>
      </c>
      <c r="H24" s="16" t="s">
        <v>1229</v>
      </c>
      <c r="I24" s="16" t="s">
        <v>1229</v>
      </c>
      <c r="J24" s="16" t="s">
        <v>1229</v>
      </c>
      <c r="K24" s="15" t="s">
        <v>392</v>
      </c>
      <c r="L24" s="15" t="s">
        <v>374</v>
      </c>
      <c r="M24" s="16" t="s">
        <v>384</v>
      </c>
      <c r="N24" s="17"/>
      <c r="O24" s="15" t="s">
        <v>822</v>
      </c>
      <c r="P24" s="15" t="s">
        <v>1043</v>
      </c>
      <c r="Q24" s="16" t="s">
        <v>805</v>
      </c>
      <c r="R24" s="17"/>
      <c r="S24" s="40" t="str">
        <f>"840,0"</f>
        <v>840,0</v>
      </c>
      <c r="T24" s="17" t="str">
        <f>"521,0520"</f>
        <v>521,0520</v>
      </c>
      <c r="U24" s="14" t="s">
        <v>158</v>
      </c>
    </row>
    <row r="25" spans="1:21">
      <c r="A25" s="17" t="s">
        <v>178</v>
      </c>
      <c r="B25" s="14" t="s">
        <v>5263</v>
      </c>
      <c r="C25" s="14" t="s">
        <v>5264</v>
      </c>
      <c r="D25" s="14" t="s">
        <v>1513</v>
      </c>
      <c r="E25" s="14" t="str">
        <f>"0,6166"</f>
        <v>0,6166</v>
      </c>
      <c r="F25" s="14" t="s">
        <v>5265</v>
      </c>
      <c r="G25" s="16" t="s">
        <v>1043</v>
      </c>
      <c r="H25" s="15" t="s">
        <v>1043</v>
      </c>
      <c r="I25" s="15" t="s">
        <v>1151</v>
      </c>
      <c r="J25" s="16" t="s">
        <v>1229</v>
      </c>
      <c r="K25" s="15" t="s">
        <v>374</v>
      </c>
      <c r="L25" s="16" t="s">
        <v>436</v>
      </c>
      <c r="M25" s="16" t="s">
        <v>436</v>
      </c>
      <c r="N25" s="17"/>
      <c r="O25" s="15" t="s">
        <v>1043</v>
      </c>
      <c r="P25" s="16" t="s">
        <v>1086</v>
      </c>
      <c r="Q25" s="16" t="s">
        <v>1086</v>
      </c>
      <c r="R25" s="16" t="s">
        <v>1151</v>
      </c>
      <c r="S25" s="40" t="str">
        <f>"840,0"</f>
        <v>840,0</v>
      </c>
      <c r="T25" s="17" t="str">
        <f>"517,9440"</f>
        <v>517,9440</v>
      </c>
      <c r="U25" s="14" t="s">
        <v>5266</v>
      </c>
    </row>
    <row r="26" spans="1:21">
      <c r="A26" s="20" t="s">
        <v>183</v>
      </c>
      <c r="B26" s="18" t="s">
        <v>5267</v>
      </c>
      <c r="C26" s="18" t="s">
        <v>5268</v>
      </c>
      <c r="D26" s="18" t="s">
        <v>5269</v>
      </c>
      <c r="E26" s="18" t="str">
        <f>"0,6335"</f>
        <v>0,6335</v>
      </c>
      <c r="F26" s="18" t="s">
        <v>1859</v>
      </c>
      <c r="G26" s="19" t="s">
        <v>640</v>
      </c>
      <c r="H26" s="19" t="s">
        <v>822</v>
      </c>
      <c r="I26" s="19" t="s">
        <v>1030</v>
      </c>
      <c r="J26" s="22" t="s">
        <v>1078</v>
      </c>
      <c r="K26" s="19" t="s">
        <v>392</v>
      </c>
      <c r="L26" s="19" t="s">
        <v>374</v>
      </c>
      <c r="M26" s="20"/>
      <c r="N26" s="20"/>
      <c r="O26" s="22" t="s">
        <v>804</v>
      </c>
      <c r="P26" s="19" t="s">
        <v>1078</v>
      </c>
      <c r="Q26" s="22" t="s">
        <v>1151</v>
      </c>
      <c r="R26" s="22" t="s">
        <v>1151</v>
      </c>
      <c r="S26" s="38" t="str">
        <f>"820,0"</f>
        <v>820,0</v>
      </c>
      <c r="T26" s="20" t="str">
        <f>"519,4700"</f>
        <v>519,4700</v>
      </c>
      <c r="U26" s="18" t="s">
        <v>158</v>
      </c>
    </row>
    <row r="27" spans="1:21">
      <c r="B27" s="5" t="s">
        <v>40</v>
      </c>
    </row>
    <row r="28" spans="1:21" ht="15.95">
      <c r="A28" s="102" t="s">
        <v>724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</row>
    <row r="29" spans="1:21">
      <c r="A29" s="13" t="s">
        <v>15</v>
      </c>
      <c r="B29" s="11" t="s">
        <v>5270</v>
      </c>
      <c r="C29" s="11" t="s">
        <v>5271</v>
      </c>
      <c r="D29" s="11" t="s">
        <v>732</v>
      </c>
      <c r="E29" s="11" t="str">
        <f>"0,5890"</f>
        <v>0,5890</v>
      </c>
      <c r="F29" s="11" t="s">
        <v>5272</v>
      </c>
      <c r="G29" s="12" t="s">
        <v>5273</v>
      </c>
      <c r="H29" s="21" t="s">
        <v>5274</v>
      </c>
      <c r="I29" s="21" t="s">
        <v>5274</v>
      </c>
      <c r="J29" s="13"/>
      <c r="K29" s="12" t="s">
        <v>436</v>
      </c>
      <c r="L29" s="21" t="s">
        <v>420</v>
      </c>
      <c r="M29" s="21" t="s">
        <v>420</v>
      </c>
      <c r="N29" s="13"/>
      <c r="O29" s="21" t="s">
        <v>1909</v>
      </c>
      <c r="P29" s="13"/>
      <c r="Q29" s="21" t="s">
        <v>1909</v>
      </c>
      <c r="R29" s="12" t="s">
        <v>1909</v>
      </c>
      <c r="S29" s="37" t="str">
        <f>"1000,0"</f>
        <v>1000,0</v>
      </c>
      <c r="T29" s="13" t="str">
        <f>"589,0000"</f>
        <v>589,0000</v>
      </c>
      <c r="U29" s="11" t="s">
        <v>158</v>
      </c>
    </row>
    <row r="30" spans="1:21">
      <c r="A30" s="17" t="s">
        <v>62</v>
      </c>
      <c r="B30" s="14" t="s">
        <v>1849</v>
      </c>
      <c r="C30" s="14" t="s">
        <v>1850</v>
      </c>
      <c r="D30" s="14" t="s">
        <v>1851</v>
      </c>
      <c r="E30" s="14" t="str">
        <f>"0,5950"</f>
        <v>0,5950</v>
      </c>
      <c r="F30" s="14" t="s">
        <v>91</v>
      </c>
      <c r="G30" s="16" t="s">
        <v>853</v>
      </c>
      <c r="H30" s="15" t="s">
        <v>1292</v>
      </c>
      <c r="I30" s="15" t="s">
        <v>1339</v>
      </c>
      <c r="J30" s="17"/>
      <c r="K30" s="15" t="s">
        <v>392</v>
      </c>
      <c r="L30" s="15" t="s">
        <v>374</v>
      </c>
      <c r="M30" s="15" t="s">
        <v>399</v>
      </c>
      <c r="N30" s="17"/>
      <c r="O30" s="16" t="s">
        <v>1141</v>
      </c>
      <c r="P30" s="15" t="s">
        <v>1141</v>
      </c>
      <c r="Q30" s="15" t="s">
        <v>845</v>
      </c>
      <c r="R30" s="17"/>
      <c r="S30" s="40" t="str">
        <f>"952,5"</f>
        <v>952,5</v>
      </c>
      <c r="T30" s="17" t="str">
        <f>"566,7375"</f>
        <v>566,7375</v>
      </c>
      <c r="U30" s="14" t="s">
        <v>1852</v>
      </c>
    </row>
    <row r="31" spans="1:21">
      <c r="A31" s="17" t="s">
        <v>73</v>
      </c>
      <c r="B31" s="14" t="s">
        <v>5275</v>
      </c>
      <c r="C31" s="14" t="s">
        <v>5276</v>
      </c>
      <c r="D31" s="14" t="s">
        <v>1228</v>
      </c>
      <c r="E31" s="14" t="str">
        <f>"0,5917"</f>
        <v>0,5917</v>
      </c>
      <c r="F31" s="14" t="s">
        <v>1646</v>
      </c>
      <c r="G31" s="15" t="s">
        <v>842</v>
      </c>
      <c r="H31" s="15" t="s">
        <v>1142</v>
      </c>
      <c r="I31" s="16" t="s">
        <v>1909</v>
      </c>
      <c r="J31" s="16" t="s">
        <v>1909</v>
      </c>
      <c r="K31" s="15" t="s">
        <v>399</v>
      </c>
      <c r="L31" s="15" t="s">
        <v>436</v>
      </c>
      <c r="M31" s="15" t="s">
        <v>442</v>
      </c>
      <c r="N31" s="16" t="s">
        <v>507</v>
      </c>
      <c r="O31" s="16" t="s">
        <v>1086</v>
      </c>
      <c r="P31" s="15" t="s">
        <v>1086</v>
      </c>
      <c r="Q31" s="15" t="s">
        <v>842</v>
      </c>
      <c r="R31" s="16" t="s">
        <v>1229</v>
      </c>
      <c r="S31" s="40" t="str">
        <f>"925,0"</f>
        <v>925,0</v>
      </c>
      <c r="T31" s="17" t="str">
        <f>"547,3225"</f>
        <v>547,3225</v>
      </c>
      <c r="U31" s="14" t="s">
        <v>158</v>
      </c>
    </row>
    <row r="32" spans="1:21">
      <c r="A32" s="20" t="s">
        <v>92</v>
      </c>
      <c r="B32" s="18" t="s">
        <v>5277</v>
      </c>
      <c r="C32" s="18" t="s">
        <v>5278</v>
      </c>
      <c r="D32" s="18" t="s">
        <v>2926</v>
      </c>
      <c r="E32" s="18" t="str">
        <f>"0,5952"</f>
        <v>0,5952</v>
      </c>
      <c r="F32" s="18" t="s">
        <v>5279</v>
      </c>
      <c r="G32" s="19" t="s">
        <v>1086</v>
      </c>
      <c r="H32" s="19" t="s">
        <v>1087</v>
      </c>
      <c r="I32" s="22" t="s">
        <v>1229</v>
      </c>
      <c r="J32" s="22" t="s">
        <v>1142</v>
      </c>
      <c r="K32" s="19" t="s">
        <v>374</v>
      </c>
      <c r="L32" s="19" t="s">
        <v>399</v>
      </c>
      <c r="M32" s="19" t="s">
        <v>384</v>
      </c>
      <c r="N32" s="22" t="s">
        <v>436</v>
      </c>
      <c r="O32" s="22" t="s">
        <v>1043</v>
      </c>
      <c r="P32" s="22" t="s">
        <v>1043</v>
      </c>
      <c r="Q32" s="22" t="s">
        <v>1043</v>
      </c>
      <c r="R32" s="22" t="s">
        <v>1043</v>
      </c>
      <c r="S32" s="38">
        <v>0</v>
      </c>
      <c r="T32" s="20" t="str">
        <f>"0,0000"</f>
        <v>0,0000</v>
      </c>
      <c r="U32" s="18" t="s">
        <v>158</v>
      </c>
    </row>
    <row r="33" spans="1:21">
      <c r="B33" s="5" t="s">
        <v>40</v>
      </c>
    </row>
    <row r="34" spans="1:21" ht="15.95">
      <c r="A34" s="102" t="s">
        <v>783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</row>
    <row r="35" spans="1:21">
      <c r="A35" s="13" t="s">
        <v>15</v>
      </c>
      <c r="B35" s="11" t="s">
        <v>5280</v>
      </c>
      <c r="C35" s="11" t="s">
        <v>5281</v>
      </c>
      <c r="D35" s="11" t="s">
        <v>1978</v>
      </c>
      <c r="E35" s="11" t="str">
        <f>"0,5727"</f>
        <v>0,5727</v>
      </c>
      <c r="F35" s="11" t="s">
        <v>278</v>
      </c>
      <c r="G35" s="12" t="s">
        <v>1142</v>
      </c>
      <c r="H35" s="21" t="s">
        <v>1768</v>
      </c>
      <c r="I35" s="12" t="s">
        <v>1768</v>
      </c>
      <c r="J35" s="21" t="s">
        <v>3829</v>
      </c>
      <c r="K35" s="12" t="s">
        <v>392</v>
      </c>
      <c r="L35" s="21" t="s">
        <v>374</v>
      </c>
      <c r="M35" s="21" t="s">
        <v>374</v>
      </c>
      <c r="N35" s="13"/>
      <c r="O35" s="12" t="s">
        <v>1142</v>
      </c>
      <c r="P35" s="12" t="s">
        <v>1768</v>
      </c>
      <c r="Q35" s="13"/>
      <c r="R35" s="13"/>
      <c r="S35" s="37" t="str">
        <f>"940,0"</f>
        <v>940,0</v>
      </c>
      <c r="T35" s="13" t="str">
        <f>"538,3380"</f>
        <v>538,3380</v>
      </c>
      <c r="U35" s="11" t="s">
        <v>4583</v>
      </c>
    </row>
    <row r="36" spans="1:21">
      <c r="A36" s="17" t="s">
        <v>62</v>
      </c>
      <c r="B36" s="14" t="s">
        <v>5282</v>
      </c>
      <c r="C36" s="14" t="s">
        <v>5283</v>
      </c>
      <c r="D36" s="14" t="s">
        <v>2959</v>
      </c>
      <c r="E36" s="14" t="str">
        <f>"0,5723"</f>
        <v>0,5723</v>
      </c>
      <c r="F36" s="14" t="s">
        <v>5284</v>
      </c>
      <c r="G36" s="16" t="s">
        <v>1229</v>
      </c>
      <c r="H36" s="15" t="s">
        <v>1229</v>
      </c>
      <c r="I36" s="16" t="s">
        <v>1142</v>
      </c>
      <c r="J36" s="16" t="s">
        <v>1142</v>
      </c>
      <c r="K36" s="15" t="s">
        <v>384</v>
      </c>
      <c r="L36" s="16" t="s">
        <v>441</v>
      </c>
      <c r="M36" s="15" t="s">
        <v>441</v>
      </c>
      <c r="N36" s="17"/>
      <c r="O36" s="15" t="s">
        <v>842</v>
      </c>
      <c r="P36" s="15" t="s">
        <v>1229</v>
      </c>
      <c r="Q36" s="15" t="s">
        <v>1142</v>
      </c>
      <c r="R36" s="16" t="s">
        <v>845</v>
      </c>
      <c r="S36" s="40" t="str">
        <f>"927,5"</f>
        <v>927,5</v>
      </c>
      <c r="T36" s="17" t="str">
        <f>"530,8083"</f>
        <v>530,8083</v>
      </c>
      <c r="U36" s="14" t="s">
        <v>5285</v>
      </c>
    </row>
    <row r="37" spans="1:21">
      <c r="A37" s="20" t="s">
        <v>73</v>
      </c>
      <c r="B37" s="18" t="s">
        <v>5286</v>
      </c>
      <c r="C37" s="18" t="s">
        <v>5287</v>
      </c>
      <c r="D37" s="18" t="s">
        <v>3461</v>
      </c>
      <c r="E37" s="18" t="str">
        <f>"0,5715"</f>
        <v>0,5715</v>
      </c>
      <c r="F37" s="18" t="s">
        <v>2524</v>
      </c>
      <c r="G37" s="19" t="s">
        <v>1141</v>
      </c>
      <c r="H37" s="22" t="s">
        <v>1339</v>
      </c>
      <c r="I37" s="22" t="s">
        <v>1339</v>
      </c>
      <c r="J37" s="19" t="s">
        <v>1339</v>
      </c>
      <c r="K37" s="19" t="s">
        <v>384</v>
      </c>
      <c r="L37" s="19" t="s">
        <v>420</v>
      </c>
      <c r="M37" s="22" t="s">
        <v>421</v>
      </c>
      <c r="N37" s="22" t="s">
        <v>421</v>
      </c>
      <c r="O37" s="19" t="s">
        <v>822</v>
      </c>
      <c r="P37" s="22" t="s">
        <v>1043</v>
      </c>
      <c r="Q37" s="22" t="s">
        <v>1043</v>
      </c>
      <c r="R37" s="20"/>
      <c r="S37" s="38" t="str">
        <f>"880,0"</f>
        <v>880,0</v>
      </c>
      <c r="T37" s="20" t="str">
        <f>"502,9200"</f>
        <v>502,9200</v>
      </c>
      <c r="U37" s="18" t="s">
        <v>158</v>
      </c>
    </row>
    <row r="38" spans="1:21">
      <c r="B38" s="5" t="s">
        <v>40</v>
      </c>
    </row>
    <row r="39" spans="1:21" ht="15.95">
      <c r="A39" s="102" t="s">
        <v>794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</row>
    <row r="40" spans="1:21">
      <c r="A40" s="13" t="s">
        <v>15</v>
      </c>
      <c r="B40" s="11" t="s">
        <v>5288</v>
      </c>
      <c r="C40" s="11" t="s">
        <v>5289</v>
      </c>
      <c r="D40" s="11" t="s">
        <v>5290</v>
      </c>
      <c r="E40" s="11" t="str">
        <f>"0,5607"</f>
        <v>0,5607</v>
      </c>
      <c r="F40" s="11" t="s">
        <v>5291</v>
      </c>
      <c r="G40" s="12" t="s">
        <v>3755</v>
      </c>
      <c r="H40" s="21" t="s">
        <v>5292</v>
      </c>
      <c r="I40" s="12" t="s">
        <v>5292</v>
      </c>
      <c r="J40" s="21" t="s">
        <v>5274</v>
      </c>
      <c r="K40" s="12" t="s">
        <v>374</v>
      </c>
      <c r="L40" s="21" t="s">
        <v>420</v>
      </c>
      <c r="M40" s="12" t="s">
        <v>420</v>
      </c>
      <c r="N40" s="13"/>
      <c r="O40" s="12" t="s">
        <v>1086</v>
      </c>
      <c r="P40" s="12" t="s">
        <v>842</v>
      </c>
      <c r="Q40" s="12" t="s">
        <v>1229</v>
      </c>
      <c r="R40" s="21" t="s">
        <v>1142</v>
      </c>
      <c r="S40" s="37" t="str">
        <f>"985,0"</f>
        <v>985,0</v>
      </c>
      <c r="T40" s="13" t="str">
        <f>"552,2895"</f>
        <v>552,2895</v>
      </c>
      <c r="U40" s="11" t="s">
        <v>158</v>
      </c>
    </row>
    <row r="41" spans="1:21">
      <c r="A41" s="20" t="s">
        <v>62</v>
      </c>
      <c r="B41" s="18" t="s">
        <v>5293</v>
      </c>
      <c r="C41" s="18" t="s">
        <v>5294</v>
      </c>
      <c r="D41" s="18" t="s">
        <v>5295</v>
      </c>
      <c r="E41" s="18" t="str">
        <f>"0,5663"</f>
        <v>0,5663</v>
      </c>
      <c r="F41" s="18" t="s">
        <v>378</v>
      </c>
      <c r="G41" s="19" t="s">
        <v>1086</v>
      </c>
      <c r="H41" s="19" t="s">
        <v>1229</v>
      </c>
      <c r="I41" s="19" t="s">
        <v>1339</v>
      </c>
      <c r="J41" s="22" t="s">
        <v>1909</v>
      </c>
      <c r="K41" s="19" t="s">
        <v>392</v>
      </c>
      <c r="L41" s="19" t="s">
        <v>374</v>
      </c>
      <c r="M41" s="19" t="s">
        <v>455</v>
      </c>
      <c r="N41" s="19" t="s">
        <v>495</v>
      </c>
      <c r="O41" s="19" t="s">
        <v>1141</v>
      </c>
      <c r="P41" s="19" t="s">
        <v>1768</v>
      </c>
      <c r="Q41" s="19" t="s">
        <v>2210</v>
      </c>
      <c r="R41" s="19" t="s">
        <v>5296</v>
      </c>
      <c r="S41" s="38" t="str">
        <f>"977,5"</f>
        <v>977,5</v>
      </c>
      <c r="T41" s="20" t="str">
        <f>"553,5582"</f>
        <v>553,5582</v>
      </c>
      <c r="U41" s="18" t="s">
        <v>3538</v>
      </c>
    </row>
    <row r="42" spans="1:21">
      <c r="B42" s="5" t="s">
        <v>40</v>
      </c>
    </row>
    <row r="43" spans="1:21" ht="15.95">
      <c r="A43" s="102" t="s">
        <v>818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</row>
    <row r="44" spans="1:21">
      <c r="A44" s="13" t="s">
        <v>15</v>
      </c>
      <c r="B44" s="11" t="s">
        <v>5297</v>
      </c>
      <c r="C44" s="11" t="s">
        <v>5298</v>
      </c>
      <c r="D44" s="11" t="s">
        <v>5299</v>
      </c>
      <c r="E44" s="11" t="str">
        <f>"0,5371"</f>
        <v>0,5371</v>
      </c>
      <c r="F44" s="11" t="s">
        <v>5300</v>
      </c>
      <c r="G44" s="21" t="s">
        <v>2012</v>
      </c>
      <c r="H44" s="12" t="s">
        <v>2012</v>
      </c>
      <c r="I44" s="21" t="s">
        <v>3848</v>
      </c>
      <c r="J44" s="21" t="s">
        <v>5301</v>
      </c>
      <c r="K44" s="12" t="s">
        <v>490</v>
      </c>
      <c r="L44" s="12" t="s">
        <v>523</v>
      </c>
      <c r="M44" s="12" t="s">
        <v>640</v>
      </c>
      <c r="N44" s="12" t="s">
        <v>754</v>
      </c>
      <c r="O44" s="12" t="s">
        <v>1339</v>
      </c>
      <c r="P44" s="12" t="s">
        <v>1345</v>
      </c>
      <c r="Q44" s="21" t="s">
        <v>5292</v>
      </c>
      <c r="R44" s="13"/>
      <c r="S44" s="37" t="str">
        <f>"1075,0"</f>
        <v>1075,0</v>
      </c>
      <c r="T44" s="13" t="str">
        <f>"577,3825"</f>
        <v>577,3825</v>
      </c>
      <c r="U44" s="11" t="s">
        <v>5302</v>
      </c>
    </row>
    <row r="45" spans="1:21">
      <c r="A45" s="17" t="s">
        <v>62</v>
      </c>
      <c r="B45" s="14" t="s">
        <v>5303</v>
      </c>
      <c r="C45" s="14" t="s">
        <v>5304</v>
      </c>
      <c r="D45" s="14" t="s">
        <v>5305</v>
      </c>
      <c r="E45" s="14" t="str">
        <f>"0,5548"</f>
        <v>0,5548</v>
      </c>
      <c r="F45" s="14" t="s">
        <v>906</v>
      </c>
      <c r="G45" s="15" t="s">
        <v>842</v>
      </c>
      <c r="H45" s="15" t="s">
        <v>1142</v>
      </c>
      <c r="I45" s="16" t="s">
        <v>1909</v>
      </c>
      <c r="J45" s="17"/>
      <c r="K45" s="15" t="s">
        <v>420</v>
      </c>
      <c r="L45" s="15" t="s">
        <v>459</v>
      </c>
      <c r="M45" s="16" t="s">
        <v>627</v>
      </c>
      <c r="N45" s="16" t="s">
        <v>627</v>
      </c>
      <c r="O45" s="15" t="s">
        <v>640</v>
      </c>
      <c r="P45" s="15" t="s">
        <v>804</v>
      </c>
      <c r="Q45" s="15" t="s">
        <v>1151</v>
      </c>
      <c r="R45" s="15" t="s">
        <v>1292</v>
      </c>
      <c r="S45" s="40" t="str">
        <f>"940,0"</f>
        <v>940,0</v>
      </c>
      <c r="T45" s="17" t="str">
        <f>"521,5120"</f>
        <v>521,5120</v>
      </c>
      <c r="U45" s="14" t="s">
        <v>158</v>
      </c>
    </row>
    <row r="46" spans="1:21">
      <c r="A46" s="20" t="s">
        <v>92</v>
      </c>
      <c r="B46" s="18" t="s">
        <v>5306</v>
      </c>
      <c r="C46" s="18" t="s">
        <v>5307</v>
      </c>
      <c r="D46" s="18" t="s">
        <v>5308</v>
      </c>
      <c r="E46" s="18" t="str">
        <f>"0,5507"</f>
        <v>0,5507</v>
      </c>
      <c r="F46" s="18" t="s">
        <v>2868</v>
      </c>
      <c r="G46" s="19" t="s">
        <v>2012</v>
      </c>
      <c r="H46" s="22" t="s">
        <v>5309</v>
      </c>
      <c r="I46" s="19" t="s">
        <v>5309</v>
      </c>
      <c r="J46" s="22" t="s">
        <v>3809</v>
      </c>
      <c r="K46" s="19" t="s">
        <v>399</v>
      </c>
      <c r="L46" s="22" t="s">
        <v>495</v>
      </c>
      <c r="M46" s="22" t="s">
        <v>495</v>
      </c>
      <c r="N46" s="22" t="s">
        <v>495</v>
      </c>
      <c r="O46" s="22" t="s">
        <v>1142</v>
      </c>
      <c r="P46" s="22" t="s">
        <v>1142</v>
      </c>
      <c r="Q46" s="22" t="s">
        <v>1142</v>
      </c>
      <c r="R46" s="20"/>
      <c r="S46" s="38">
        <v>0</v>
      </c>
      <c r="T46" s="20" t="str">
        <f>"0,0000"</f>
        <v>0,0000</v>
      </c>
      <c r="U46" s="18" t="s">
        <v>158</v>
      </c>
    </row>
    <row r="47" spans="1:21">
      <c r="B47" s="5" t="s">
        <v>40</v>
      </c>
    </row>
    <row r="48" spans="1:21">
      <c r="B48" s="5" t="s">
        <v>40</v>
      </c>
    </row>
    <row r="50" spans="2:6" ht="18">
      <c r="B50" s="29" t="s">
        <v>5310</v>
      </c>
      <c r="C50" s="23"/>
    </row>
    <row r="51" spans="2:6" ht="15.95">
      <c r="B51" s="95" t="s">
        <v>855</v>
      </c>
      <c r="C51" s="95"/>
    </row>
    <row r="52" spans="2:6" ht="14.1">
      <c r="B52" s="24"/>
      <c r="C52" s="24" t="s">
        <v>832</v>
      </c>
    </row>
    <row r="53" spans="2:6" ht="14.1">
      <c r="B53" s="4" t="s">
        <v>833</v>
      </c>
      <c r="C53" s="4" t="s">
        <v>834</v>
      </c>
      <c r="D53" s="4" t="s">
        <v>4059</v>
      </c>
      <c r="E53" s="4" t="s">
        <v>836</v>
      </c>
      <c r="F53" s="4" t="s">
        <v>837</v>
      </c>
    </row>
    <row r="54" spans="2:6">
      <c r="B54" s="5" t="s">
        <v>5241</v>
      </c>
      <c r="C54" s="5" t="s">
        <v>832</v>
      </c>
      <c r="D54" s="6" t="s">
        <v>868</v>
      </c>
      <c r="E54" s="6" t="s">
        <v>5311</v>
      </c>
      <c r="F54" s="6" t="s">
        <v>5312</v>
      </c>
    </row>
    <row r="55" spans="2:6">
      <c r="B55" s="5" t="s">
        <v>5270</v>
      </c>
      <c r="C55" s="5" t="s">
        <v>832</v>
      </c>
      <c r="D55" s="6" t="s">
        <v>1349</v>
      </c>
      <c r="E55" s="6" t="s">
        <v>5313</v>
      </c>
      <c r="F55" s="6" t="s">
        <v>5314</v>
      </c>
    </row>
    <row r="56" spans="2:6">
      <c r="B56" s="5" t="s">
        <v>5253</v>
      </c>
      <c r="C56" s="5" t="s">
        <v>832</v>
      </c>
      <c r="D56" s="6" t="s">
        <v>888</v>
      </c>
      <c r="E56" s="6" t="s">
        <v>2026</v>
      </c>
      <c r="F56" s="6" t="s">
        <v>5315</v>
      </c>
    </row>
    <row r="57" spans="2:6">
      <c r="B57" s="5" t="s">
        <v>40</v>
      </c>
    </row>
    <row r="58" spans="2:6" ht="18">
      <c r="B58" s="29" t="s">
        <v>5316</v>
      </c>
      <c r="C58" s="23"/>
    </row>
    <row r="59" spans="2:6" ht="15.95">
      <c r="B59" s="95" t="s">
        <v>855</v>
      </c>
      <c r="C59" s="95"/>
    </row>
    <row r="60" spans="2:6" ht="14.1">
      <c r="B60" s="24"/>
      <c r="C60" s="24" t="s">
        <v>832</v>
      </c>
    </row>
    <row r="61" spans="2:6" ht="14.1">
      <c r="B61" s="4" t="s">
        <v>833</v>
      </c>
      <c r="C61" s="4" t="s">
        <v>834</v>
      </c>
      <c r="D61" s="4" t="s">
        <v>835</v>
      </c>
      <c r="E61" s="4" t="s">
        <v>836</v>
      </c>
    </row>
    <row r="62" spans="2:6">
      <c r="B62" s="5" t="s">
        <v>5297</v>
      </c>
      <c r="C62" s="5" t="s">
        <v>832</v>
      </c>
      <c r="D62" s="6" t="s">
        <v>878</v>
      </c>
      <c r="E62" s="6" t="s">
        <v>5317</v>
      </c>
    </row>
    <row r="63" spans="2:6">
      <c r="B63" s="5" t="s">
        <v>5270</v>
      </c>
      <c r="C63" s="5" t="s">
        <v>832</v>
      </c>
      <c r="D63" s="6" t="s">
        <v>1349</v>
      </c>
      <c r="E63" s="6" t="s">
        <v>5313</v>
      </c>
    </row>
    <row r="64" spans="2:6">
      <c r="B64" s="5" t="s">
        <v>5288</v>
      </c>
      <c r="C64" s="5" t="s">
        <v>832</v>
      </c>
      <c r="D64" s="6" t="s">
        <v>875</v>
      </c>
      <c r="E64" s="6" t="s">
        <v>5318</v>
      </c>
    </row>
  </sheetData>
  <mergeCells count="21">
    <mergeCell ref="A17:T17"/>
    <mergeCell ref="A28:T28"/>
    <mergeCell ref="A34:T34"/>
    <mergeCell ref="A39:T39"/>
    <mergeCell ref="A43:T43"/>
    <mergeCell ref="A8:T8"/>
    <mergeCell ref="A13:T13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B3:B4"/>
    <mergeCell ref="S3:S4"/>
    <mergeCell ref="T3:T4"/>
    <mergeCell ref="U3:U4"/>
    <mergeCell ref="A5:T5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8"/>
  <sheetViews>
    <sheetView workbookViewId="0">
      <selection sqref="A1:M2"/>
    </sheetView>
  </sheetViews>
  <sheetFormatPr defaultColWidth="9.140625" defaultRowHeight="12.95"/>
  <cols>
    <col min="1" max="1" width="7.42578125" style="6" bestFit="1" customWidth="1"/>
    <col min="2" max="2" width="19.42578125" style="5" bestFit="1" customWidth="1"/>
    <col min="3" max="3" width="26.28515625" style="5" bestFit="1" customWidth="1"/>
    <col min="4" max="4" width="21.42578125" style="5" bestFit="1" customWidth="1"/>
    <col min="5" max="5" width="10.42578125" style="5" bestFit="1" customWidth="1"/>
    <col min="6" max="6" width="20.42578125" style="5" bestFit="1" customWidth="1"/>
    <col min="7" max="9" width="5.42578125" style="6" bestFit="1" customWidth="1"/>
    <col min="10" max="10" width="5.42578125" style="6" customWidth="1"/>
    <col min="11" max="11" width="11.28515625" style="39" bestFit="1" customWidth="1"/>
    <col min="12" max="12" width="8.42578125" style="6" bestFit="1" customWidth="1"/>
    <col min="13" max="13" width="21.7109375" style="5" bestFit="1" customWidth="1"/>
    <col min="14" max="16384" width="9.140625" style="3"/>
  </cols>
  <sheetData>
    <row r="1" spans="1:13" s="2" customFormat="1" ht="29.1" customHeight="1">
      <c r="A1" s="103" t="s">
        <v>5319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5</v>
      </c>
      <c r="F3" s="114" t="s">
        <v>6</v>
      </c>
      <c r="G3" s="114" t="s">
        <v>8</v>
      </c>
      <c r="H3" s="114"/>
      <c r="I3" s="114"/>
      <c r="J3" s="114"/>
      <c r="K3" s="117" t="s">
        <v>2294</v>
      </c>
      <c r="L3" s="114" t="s">
        <v>11</v>
      </c>
      <c r="M3" s="99" t="s">
        <v>12</v>
      </c>
    </row>
    <row r="4" spans="1:13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118"/>
      <c r="L4" s="113"/>
      <c r="M4" s="100"/>
    </row>
    <row r="5" spans="1:13" ht="15.95">
      <c r="A5" s="101" t="s">
        <v>301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3">
      <c r="A6" s="13" t="s">
        <v>15</v>
      </c>
      <c r="B6" s="11" t="s">
        <v>5320</v>
      </c>
      <c r="C6" s="11" t="s">
        <v>5321</v>
      </c>
      <c r="D6" s="11" t="s">
        <v>1430</v>
      </c>
      <c r="E6" s="11" t="str">
        <f>"0,7278"</f>
        <v>0,7278</v>
      </c>
      <c r="F6" s="11" t="s">
        <v>1522</v>
      </c>
      <c r="G6" s="12" t="s">
        <v>421</v>
      </c>
      <c r="H6" s="12" t="s">
        <v>682</v>
      </c>
      <c r="I6" s="21" t="s">
        <v>1059</v>
      </c>
      <c r="J6" s="21" t="s">
        <v>1059</v>
      </c>
      <c r="K6" s="37" t="str">
        <f>"237,5"</f>
        <v>237,5</v>
      </c>
      <c r="L6" s="13" t="str">
        <f>"172,8525"</f>
        <v>172,8525</v>
      </c>
      <c r="M6" s="11" t="s">
        <v>158</v>
      </c>
    </row>
    <row r="7" spans="1:13">
      <c r="A7" s="20" t="s">
        <v>62</v>
      </c>
      <c r="B7" s="18" t="s">
        <v>3089</v>
      </c>
      <c r="C7" s="18" t="s">
        <v>3090</v>
      </c>
      <c r="D7" s="18" t="s">
        <v>419</v>
      </c>
      <c r="E7" s="18" t="str">
        <f>"0,7166"</f>
        <v>0,7166</v>
      </c>
      <c r="F7" s="18" t="s">
        <v>1590</v>
      </c>
      <c r="G7" s="19" t="s">
        <v>399</v>
      </c>
      <c r="H7" s="19" t="s">
        <v>495</v>
      </c>
      <c r="I7" s="19" t="s">
        <v>436</v>
      </c>
      <c r="J7" s="20"/>
      <c r="K7" s="38" t="str">
        <f>"215,0"</f>
        <v>215,0</v>
      </c>
      <c r="L7" s="20" t="str">
        <f>"154,0690"</f>
        <v>154,0690</v>
      </c>
      <c r="M7" s="18" t="s">
        <v>158</v>
      </c>
    </row>
    <row r="8" spans="1:13">
      <c r="B8" s="5" t="s">
        <v>40</v>
      </c>
    </row>
    <row r="9" spans="1:13" ht="15.95">
      <c r="A9" s="102" t="s">
        <v>334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3">
      <c r="A10" s="10" t="s">
        <v>15</v>
      </c>
      <c r="B10" s="7" t="s">
        <v>5322</v>
      </c>
      <c r="C10" s="7" t="s">
        <v>5323</v>
      </c>
      <c r="D10" s="7" t="s">
        <v>1458</v>
      </c>
      <c r="E10" s="7" t="str">
        <f>"0,6709"</f>
        <v>0,6709</v>
      </c>
      <c r="F10" s="7" t="s">
        <v>1870</v>
      </c>
      <c r="G10" s="9" t="s">
        <v>421</v>
      </c>
      <c r="H10" s="8" t="s">
        <v>421</v>
      </c>
      <c r="I10" s="9" t="s">
        <v>627</v>
      </c>
      <c r="J10" s="10"/>
      <c r="K10" s="41" t="str">
        <f>"230,0"</f>
        <v>230,0</v>
      </c>
      <c r="L10" s="10" t="str">
        <f>"154,3070"</f>
        <v>154,3070</v>
      </c>
      <c r="M10" s="7" t="s">
        <v>158</v>
      </c>
    </row>
    <row r="11" spans="1:13">
      <c r="B11" s="5" t="s">
        <v>40</v>
      </c>
    </row>
    <row r="12" spans="1:13" ht="15.95">
      <c r="A12" s="102" t="s">
        <v>598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</row>
    <row r="13" spans="1:13">
      <c r="A13" s="10" t="s">
        <v>15</v>
      </c>
      <c r="B13" s="7" t="s">
        <v>5324</v>
      </c>
      <c r="C13" s="7" t="s">
        <v>5325</v>
      </c>
      <c r="D13" s="7" t="s">
        <v>643</v>
      </c>
      <c r="E13" s="7" t="str">
        <f>"0,6391"</f>
        <v>0,6391</v>
      </c>
      <c r="F13" s="7" t="s">
        <v>5326</v>
      </c>
      <c r="G13" s="8" t="s">
        <v>523</v>
      </c>
      <c r="H13" s="8" t="s">
        <v>640</v>
      </c>
      <c r="I13" s="9" t="s">
        <v>5327</v>
      </c>
      <c r="J13" s="8" t="s">
        <v>5327</v>
      </c>
      <c r="K13" s="41" t="str">
        <f>"276,0"</f>
        <v>276,0</v>
      </c>
      <c r="L13" s="10" t="str">
        <f>"176,3916"</f>
        <v>176,3916</v>
      </c>
      <c r="M13" s="7" t="s">
        <v>158</v>
      </c>
    </row>
    <row r="14" spans="1:13">
      <c r="B14" s="5" t="s">
        <v>40</v>
      </c>
    </row>
    <row r="15" spans="1:13" ht="15.95">
      <c r="A15" s="102" t="s">
        <v>670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</row>
    <row r="16" spans="1:13">
      <c r="A16" s="13" t="s">
        <v>15</v>
      </c>
      <c r="B16" s="11" t="s">
        <v>5328</v>
      </c>
      <c r="C16" s="11" t="s">
        <v>5329</v>
      </c>
      <c r="D16" s="11" t="s">
        <v>5330</v>
      </c>
      <c r="E16" s="11" t="str">
        <f>"0,6318"</f>
        <v>0,6318</v>
      </c>
      <c r="F16" s="11" t="s">
        <v>91</v>
      </c>
      <c r="G16" s="12" t="s">
        <v>422</v>
      </c>
      <c r="H16" s="12" t="s">
        <v>490</v>
      </c>
      <c r="I16" s="21" t="s">
        <v>523</v>
      </c>
      <c r="J16" s="13"/>
      <c r="K16" s="37" t="str">
        <f>"250,0"</f>
        <v>250,0</v>
      </c>
      <c r="L16" s="13" t="str">
        <f>"157,9500"</f>
        <v>157,9500</v>
      </c>
      <c r="M16" s="11" t="s">
        <v>158</v>
      </c>
    </row>
    <row r="17" spans="1:13">
      <c r="A17" s="17" t="s">
        <v>62</v>
      </c>
      <c r="B17" s="14" t="s">
        <v>3227</v>
      </c>
      <c r="C17" s="14" t="s">
        <v>3228</v>
      </c>
      <c r="D17" s="14" t="s">
        <v>1201</v>
      </c>
      <c r="E17" s="14" t="str">
        <f>"0,6126"</f>
        <v>0,6126</v>
      </c>
      <c r="F17" s="14" t="s">
        <v>91</v>
      </c>
      <c r="G17" s="15" t="s">
        <v>442</v>
      </c>
      <c r="H17" s="15" t="s">
        <v>459</v>
      </c>
      <c r="I17" s="15" t="s">
        <v>437</v>
      </c>
      <c r="J17" s="17"/>
      <c r="K17" s="40" t="str">
        <f>"242,5"</f>
        <v>242,5</v>
      </c>
      <c r="L17" s="17" t="str">
        <f>"150,0870"</f>
        <v>150,0870</v>
      </c>
      <c r="M17" s="14" t="s">
        <v>3230</v>
      </c>
    </row>
    <row r="18" spans="1:13">
      <c r="A18" s="20" t="s">
        <v>73</v>
      </c>
      <c r="B18" s="18" t="s">
        <v>5331</v>
      </c>
      <c r="C18" s="18" t="s">
        <v>5135</v>
      </c>
      <c r="D18" s="18" t="s">
        <v>1827</v>
      </c>
      <c r="E18" s="18" t="str">
        <f>"0,6116"</f>
        <v>0,6116</v>
      </c>
      <c r="F18" s="18" t="s">
        <v>633</v>
      </c>
      <c r="G18" s="19" t="s">
        <v>421</v>
      </c>
      <c r="H18" s="19" t="s">
        <v>459</v>
      </c>
      <c r="I18" s="22" t="s">
        <v>437</v>
      </c>
      <c r="J18" s="20"/>
      <c r="K18" s="38" t="str">
        <f>"235,0"</f>
        <v>235,0</v>
      </c>
      <c r="L18" s="20" t="str">
        <f>"143,7260"</f>
        <v>143,7260</v>
      </c>
      <c r="M18" s="18" t="s">
        <v>158</v>
      </c>
    </row>
    <row r="19" spans="1:13">
      <c r="B19" s="5" t="s">
        <v>40</v>
      </c>
    </row>
    <row r="20" spans="1:13" ht="15.95">
      <c r="A20" s="102" t="s">
        <v>724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</row>
    <row r="21" spans="1:13">
      <c r="A21" s="13" t="s">
        <v>15</v>
      </c>
      <c r="B21" s="11" t="s">
        <v>5332</v>
      </c>
      <c r="C21" s="11" t="s">
        <v>5333</v>
      </c>
      <c r="D21" s="11" t="s">
        <v>766</v>
      </c>
      <c r="E21" s="11" t="str">
        <f>"0,5914"</f>
        <v>0,5914</v>
      </c>
      <c r="F21" s="11" t="s">
        <v>528</v>
      </c>
      <c r="G21" s="12" t="s">
        <v>523</v>
      </c>
      <c r="H21" s="12" t="s">
        <v>640</v>
      </c>
      <c r="I21" s="12" t="s">
        <v>754</v>
      </c>
      <c r="J21" s="12" t="s">
        <v>1717</v>
      </c>
      <c r="K21" s="37" t="str">
        <f>"277,5"</f>
        <v>277,5</v>
      </c>
      <c r="L21" s="13" t="str">
        <f>"164,1135"</f>
        <v>164,1135</v>
      </c>
      <c r="M21" s="11" t="s">
        <v>158</v>
      </c>
    </row>
    <row r="22" spans="1:13">
      <c r="A22" s="20" t="s">
        <v>62</v>
      </c>
      <c r="B22" s="18" t="s">
        <v>5334</v>
      </c>
      <c r="C22" s="18" t="s">
        <v>5335</v>
      </c>
      <c r="D22" s="18" t="s">
        <v>1249</v>
      </c>
      <c r="E22" s="18" t="str">
        <f>"0,5902"</f>
        <v>0,5902</v>
      </c>
      <c r="F22" s="18" t="s">
        <v>809</v>
      </c>
      <c r="G22" s="19" t="s">
        <v>523</v>
      </c>
      <c r="H22" s="22" t="s">
        <v>640</v>
      </c>
      <c r="I22" s="19" t="s">
        <v>640</v>
      </c>
      <c r="J22" s="22" t="s">
        <v>754</v>
      </c>
      <c r="K22" s="38" t="str">
        <f>"270,0"</f>
        <v>270,0</v>
      </c>
      <c r="L22" s="20" t="str">
        <f>"159,3540"</f>
        <v>159,3540</v>
      </c>
      <c r="M22" s="18" t="s">
        <v>158</v>
      </c>
    </row>
    <row r="23" spans="1:13">
      <c r="B23" s="5" t="s">
        <v>40</v>
      </c>
    </row>
    <row r="24" spans="1:13" ht="15.95">
      <c r="A24" s="102" t="s">
        <v>783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1:13">
      <c r="A25" s="13" t="s">
        <v>15</v>
      </c>
      <c r="B25" s="11" t="s">
        <v>5336</v>
      </c>
      <c r="C25" s="11" t="s">
        <v>5337</v>
      </c>
      <c r="D25" s="11" t="s">
        <v>1299</v>
      </c>
      <c r="E25" s="11" t="str">
        <f>"0,5731"</f>
        <v>0,5731</v>
      </c>
      <c r="F25" s="11" t="s">
        <v>906</v>
      </c>
      <c r="G25" s="12" t="s">
        <v>491</v>
      </c>
      <c r="H25" s="12" t="s">
        <v>738</v>
      </c>
      <c r="I25" s="21" t="s">
        <v>822</v>
      </c>
      <c r="J25" s="13"/>
      <c r="K25" s="37" t="str">
        <f>"280,0"</f>
        <v>280,0</v>
      </c>
      <c r="L25" s="13" t="str">
        <f>"160,4680"</f>
        <v>160,4680</v>
      </c>
      <c r="M25" s="11" t="s">
        <v>158</v>
      </c>
    </row>
    <row r="26" spans="1:13">
      <c r="A26" s="17" t="s">
        <v>62</v>
      </c>
      <c r="B26" s="14" t="s">
        <v>5338</v>
      </c>
      <c r="C26" s="14" t="s">
        <v>5339</v>
      </c>
      <c r="D26" s="14" t="s">
        <v>5340</v>
      </c>
      <c r="E26" s="14" t="str">
        <f>"0,5852"</f>
        <v>0,5852</v>
      </c>
      <c r="F26" s="14" t="s">
        <v>2822</v>
      </c>
      <c r="G26" s="15" t="s">
        <v>523</v>
      </c>
      <c r="H26" s="15" t="s">
        <v>491</v>
      </c>
      <c r="I26" s="16" t="s">
        <v>640</v>
      </c>
      <c r="J26" s="16" t="s">
        <v>640</v>
      </c>
      <c r="K26" s="40" t="str">
        <f>"265,0"</f>
        <v>265,0</v>
      </c>
      <c r="L26" s="17" t="str">
        <f>"155,0780"</f>
        <v>155,0780</v>
      </c>
      <c r="M26" s="14" t="s">
        <v>158</v>
      </c>
    </row>
    <row r="27" spans="1:13">
      <c r="A27" s="17" t="s">
        <v>73</v>
      </c>
      <c r="B27" s="14" t="s">
        <v>5341</v>
      </c>
      <c r="C27" s="14" t="s">
        <v>445</v>
      </c>
      <c r="D27" s="14" t="s">
        <v>786</v>
      </c>
      <c r="E27" s="14" t="str">
        <f>"0,5880"</f>
        <v>0,5880</v>
      </c>
      <c r="F27" s="14" t="s">
        <v>1105</v>
      </c>
      <c r="G27" s="15" t="s">
        <v>529</v>
      </c>
      <c r="H27" s="16" t="s">
        <v>523</v>
      </c>
      <c r="I27" s="17"/>
      <c r="J27" s="16" t="s">
        <v>491</v>
      </c>
      <c r="K27" s="40" t="str">
        <f>"255,0"</f>
        <v>255,0</v>
      </c>
      <c r="L27" s="17" t="str">
        <f>"149,9400"</f>
        <v>149,9400</v>
      </c>
      <c r="M27" s="14" t="s">
        <v>5342</v>
      </c>
    </row>
    <row r="28" spans="1:13">
      <c r="A28" s="17" t="s">
        <v>75</v>
      </c>
      <c r="B28" s="14" t="s">
        <v>5343</v>
      </c>
      <c r="C28" s="14" t="s">
        <v>5344</v>
      </c>
      <c r="D28" s="14" t="s">
        <v>1286</v>
      </c>
      <c r="E28" s="14" t="str">
        <f>"0,5737"</f>
        <v>0,5737</v>
      </c>
      <c r="F28" s="14" t="s">
        <v>1455</v>
      </c>
      <c r="G28" s="15" t="s">
        <v>490</v>
      </c>
      <c r="H28" s="16" t="s">
        <v>523</v>
      </c>
      <c r="I28" s="16" t="s">
        <v>523</v>
      </c>
      <c r="J28" s="16" t="s">
        <v>523</v>
      </c>
      <c r="K28" s="40" t="str">
        <f>"250,0"</f>
        <v>250,0</v>
      </c>
      <c r="L28" s="17" t="str">
        <f>"143,4250"</f>
        <v>143,4250</v>
      </c>
      <c r="M28" s="14" t="s">
        <v>158</v>
      </c>
    </row>
    <row r="29" spans="1:13">
      <c r="A29" s="17" t="s">
        <v>87</v>
      </c>
      <c r="B29" s="14" t="s">
        <v>5345</v>
      </c>
      <c r="C29" s="14" t="s">
        <v>5346</v>
      </c>
      <c r="D29" s="14" t="s">
        <v>793</v>
      </c>
      <c r="E29" s="14" t="str">
        <f>"0,5878"</f>
        <v>0,5878</v>
      </c>
      <c r="F29" s="14" t="s">
        <v>522</v>
      </c>
      <c r="G29" s="15" t="s">
        <v>459</v>
      </c>
      <c r="H29" s="15" t="s">
        <v>437</v>
      </c>
      <c r="I29" s="16" t="s">
        <v>645</v>
      </c>
      <c r="J29" s="16" t="s">
        <v>645</v>
      </c>
      <c r="K29" s="40" t="str">
        <f>"242,5"</f>
        <v>242,5</v>
      </c>
      <c r="L29" s="17" t="str">
        <f>"142,5415"</f>
        <v>142,5415</v>
      </c>
      <c r="M29" s="14" t="s">
        <v>2830</v>
      </c>
    </row>
    <row r="30" spans="1:13">
      <c r="A30" s="17" t="s">
        <v>168</v>
      </c>
      <c r="B30" s="14" t="s">
        <v>5347</v>
      </c>
      <c r="C30" s="14" t="s">
        <v>3927</v>
      </c>
      <c r="D30" s="14" t="s">
        <v>5348</v>
      </c>
      <c r="E30" s="14" t="str">
        <f>"0,5800"</f>
        <v>0,5800</v>
      </c>
      <c r="F30" s="14" t="s">
        <v>91</v>
      </c>
      <c r="G30" s="15" t="s">
        <v>421</v>
      </c>
      <c r="H30" s="15" t="s">
        <v>422</v>
      </c>
      <c r="I30" s="16" t="s">
        <v>645</v>
      </c>
      <c r="J30" s="16" t="s">
        <v>490</v>
      </c>
      <c r="K30" s="40" t="str">
        <f>"240,0"</f>
        <v>240,0</v>
      </c>
      <c r="L30" s="17" t="str">
        <f>"139,2000"</f>
        <v>139,2000</v>
      </c>
      <c r="M30" s="14" t="s">
        <v>158</v>
      </c>
    </row>
    <row r="31" spans="1:13">
      <c r="A31" s="17" t="s">
        <v>172</v>
      </c>
      <c r="B31" s="14" t="s">
        <v>5349</v>
      </c>
      <c r="C31" s="14" t="s">
        <v>5350</v>
      </c>
      <c r="D31" s="14" t="s">
        <v>4666</v>
      </c>
      <c r="E31" s="14" t="str">
        <f>"0,5777"</f>
        <v>0,5777</v>
      </c>
      <c r="F31" s="14" t="s">
        <v>91</v>
      </c>
      <c r="G31" s="15" t="s">
        <v>421</v>
      </c>
      <c r="H31" s="15" t="s">
        <v>422</v>
      </c>
      <c r="I31" s="16" t="s">
        <v>490</v>
      </c>
      <c r="J31" s="16" t="s">
        <v>490</v>
      </c>
      <c r="K31" s="40" t="str">
        <f>"240,0"</f>
        <v>240,0</v>
      </c>
      <c r="L31" s="17" t="str">
        <f>"138,6480"</f>
        <v>138,6480</v>
      </c>
      <c r="M31" s="14" t="s">
        <v>158</v>
      </c>
    </row>
    <row r="32" spans="1:13">
      <c r="A32" s="20" t="s">
        <v>92</v>
      </c>
      <c r="B32" s="18" t="s">
        <v>5351</v>
      </c>
      <c r="C32" s="18" t="s">
        <v>5352</v>
      </c>
      <c r="D32" s="18" t="s">
        <v>2266</v>
      </c>
      <c r="E32" s="18" t="str">
        <f>"0,5769"</f>
        <v>0,5769</v>
      </c>
      <c r="F32" s="18" t="s">
        <v>91</v>
      </c>
      <c r="G32" s="22" t="s">
        <v>422</v>
      </c>
      <c r="H32" s="22" t="s">
        <v>422</v>
      </c>
      <c r="I32" s="20"/>
      <c r="J32" s="20"/>
      <c r="K32" s="38">
        <v>0</v>
      </c>
      <c r="L32" s="20" t="str">
        <f>"0,0000"</f>
        <v>0,0000</v>
      </c>
      <c r="M32" s="18" t="s">
        <v>5353</v>
      </c>
    </row>
    <row r="33" spans="1:13">
      <c r="B33" s="5" t="s">
        <v>40</v>
      </c>
    </row>
    <row r="34" spans="1:13" ht="15.95">
      <c r="A34" s="102" t="s">
        <v>794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</row>
    <row r="35" spans="1:13">
      <c r="A35" s="13" t="s">
        <v>15</v>
      </c>
      <c r="B35" s="11" t="s">
        <v>5354</v>
      </c>
      <c r="C35" s="11" t="s">
        <v>5355</v>
      </c>
      <c r="D35" s="11" t="s">
        <v>5356</v>
      </c>
      <c r="E35" s="11" t="str">
        <f>"0,5620"</f>
        <v>0,5620</v>
      </c>
      <c r="F35" s="11" t="s">
        <v>5357</v>
      </c>
      <c r="G35" s="12" t="s">
        <v>627</v>
      </c>
      <c r="H35" s="12" t="s">
        <v>523</v>
      </c>
      <c r="I35" s="12" t="s">
        <v>640</v>
      </c>
      <c r="J35" s="12" t="s">
        <v>738</v>
      </c>
      <c r="K35" s="37" t="str">
        <f>"280,0"</f>
        <v>280,0</v>
      </c>
      <c r="L35" s="13" t="str">
        <f>"157,3600"</f>
        <v>157,3600</v>
      </c>
      <c r="M35" s="11" t="s">
        <v>1601</v>
      </c>
    </row>
    <row r="36" spans="1:13">
      <c r="A36" s="20" t="s">
        <v>62</v>
      </c>
      <c r="B36" s="18" t="s">
        <v>5358</v>
      </c>
      <c r="C36" s="18" t="s">
        <v>5359</v>
      </c>
      <c r="D36" s="18" t="s">
        <v>5360</v>
      </c>
      <c r="E36" s="18" t="str">
        <f>"0,5624"</f>
        <v>0,5624</v>
      </c>
      <c r="F36" s="18" t="s">
        <v>1378</v>
      </c>
      <c r="G36" s="19" t="s">
        <v>523</v>
      </c>
      <c r="H36" s="22" t="s">
        <v>754</v>
      </c>
      <c r="I36" s="22" t="s">
        <v>754</v>
      </c>
      <c r="J36" s="19" t="s">
        <v>754</v>
      </c>
      <c r="K36" s="38" t="str">
        <f>"275,0"</f>
        <v>275,0</v>
      </c>
      <c r="L36" s="20" t="str">
        <f>"154,6600"</f>
        <v>154,6600</v>
      </c>
      <c r="M36" s="18" t="s">
        <v>158</v>
      </c>
    </row>
    <row r="37" spans="1:13">
      <c r="B37" s="5" t="s">
        <v>40</v>
      </c>
    </row>
    <row r="38" spans="1:13" ht="15.95">
      <c r="A38" s="102" t="s">
        <v>818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3">
      <c r="A39" s="13" t="s">
        <v>15</v>
      </c>
      <c r="B39" s="11" t="s">
        <v>5361</v>
      </c>
      <c r="C39" s="11" t="s">
        <v>5362</v>
      </c>
      <c r="D39" s="11" t="s">
        <v>5363</v>
      </c>
      <c r="E39" s="11" t="str">
        <f>"0,5560"</f>
        <v>0,5560</v>
      </c>
      <c r="F39" s="11" t="s">
        <v>91</v>
      </c>
      <c r="G39" s="12" t="s">
        <v>640</v>
      </c>
      <c r="H39" s="21" t="s">
        <v>822</v>
      </c>
      <c r="I39" s="21" t="s">
        <v>822</v>
      </c>
      <c r="J39" s="21" t="s">
        <v>822</v>
      </c>
      <c r="K39" s="37" t="str">
        <f>"270,0"</f>
        <v>270,0</v>
      </c>
      <c r="L39" s="13" t="str">
        <f>"150,1200"</f>
        <v>150,1200</v>
      </c>
      <c r="M39" s="11" t="s">
        <v>3097</v>
      </c>
    </row>
    <row r="40" spans="1:13">
      <c r="A40" s="20" t="s">
        <v>92</v>
      </c>
      <c r="B40" s="18" t="s">
        <v>5364</v>
      </c>
      <c r="C40" s="18" t="s">
        <v>5365</v>
      </c>
      <c r="D40" s="18" t="s">
        <v>5366</v>
      </c>
      <c r="E40" s="18" t="str">
        <f>"0,5568"</f>
        <v>0,5568</v>
      </c>
      <c r="F40" s="18" t="s">
        <v>5367</v>
      </c>
      <c r="G40" s="22" t="s">
        <v>746</v>
      </c>
      <c r="H40" s="22" t="s">
        <v>746</v>
      </c>
      <c r="I40" s="22" t="s">
        <v>746</v>
      </c>
      <c r="J40" s="20"/>
      <c r="K40" s="38">
        <v>0</v>
      </c>
      <c r="L40" s="20" t="str">
        <f>"0,0000"</f>
        <v>0,0000</v>
      </c>
      <c r="M40" s="18" t="s">
        <v>5368</v>
      </c>
    </row>
    <row r="41" spans="1:13">
      <c r="B41" s="5" t="s">
        <v>40</v>
      </c>
    </row>
    <row r="43" spans="1:13">
      <c r="B43" s="5" t="s">
        <v>40</v>
      </c>
    </row>
    <row r="44" spans="1:13" ht="18">
      <c r="B44" s="29" t="s">
        <v>5310</v>
      </c>
      <c r="C44" s="23"/>
    </row>
    <row r="45" spans="1:13" ht="15.95">
      <c r="B45" s="95" t="s">
        <v>855</v>
      </c>
      <c r="C45" s="95"/>
    </row>
    <row r="46" spans="1:13" ht="14.1">
      <c r="B46" s="24"/>
      <c r="C46" s="24" t="s">
        <v>832</v>
      </c>
    </row>
    <row r="47" spans="1:13" ht="14.1">
      <c r="B47" s="4" t="s">
        <v>833</v>
      </c>
      <c r="C47" s="4" t="s">
        <v>834</v>
      </c>
      <c r="D47" s="4" t="s">
        <v>835</v>
      </c>
      <c r="E47" s="4" t="s">
        <v>836</v>
      </c>
      <c r="F47" s="4" t="s">
        <v>837</v>
      </c>
    </row>
    <row r="48" spans="1:13">
      <c r="B48" s="5" t="s">
        <v>5324</v>
      </c>
      <c r="C48" s="5" t="s">
        <v>832</v>
      </c>
      <c r="D48" s="6" t="s">
        <v>858</v>
      </c>
      <c r="E48" s="6" t="s">
        <v>5327</v>
      </c>
      <c r="F48" s="6" t="s">
        <v>5369</v>
      </c>
    </row>
    <row r="49" spans="2:13">
      <c r="B49" s="5" t="s">
        <v>5320</v>
      </c>
      <c r="C49" s="5" t="s">
        <v>832</v>
      </c>
      <c r="D49" s="6" t="s">
        <v>861</v>
      </c>
      <c r="E49" s="6" t="s">
        <v>682</v>
      </c>
      <c r="F49" s="6" t="s">
        <v>5370</v>
      </c>
    </row>
    <row r="50" spans="2:13">
      <c r="B50" s="5" t="s">
        <v>5332</v>
      </c>
      <c r="C50" s="5" t="s">
        <v>832</v>
      </c>
      <c r="D50" s="6" t="s">
        <v>1349</v>
      </c>
      <c r="E50" s="6" t="s">
        <v>1717</v>
      </c>
      <c r="F50" s="6" t="s">
        <v>5371</v>
      </c>
    </row>
    <row r="51" spans="2:13">
      <c r="B51" s="5" t="s">
        <v>40</v>
      </c>
    </row>
    <row r="52" spans="2:13" ht="18">
      <c r="B52" s="29" t="s">
        <v>5316</v>
      </c>
      <c r="C52" s="23"/>
    </row>
    <row r="53" spans="2:13" ht="15.95">
      <c r="B53" s="95" t="s">
        <v>855</v>
      </c>
      <c r="C53" s="95"/>
    </row>
    <row r="54" spans="2:13" ht="14.1">
      <c r="B54" s="24"/>
      <c r="C54" s="24" t="s">
        <v>832</v>
      </c>
    </row>
    <row r="55" spans="2:13" ht="14.1">
      <c r="B55" s="4" t="s">
        <v>833</v>
      </c>
      <c r="C55" s="4" t="s">
        <v>834</v>
      </c>
      <c r="D55" s="4" t="s">
        <v>835</v>
      </c>
      <c r="E55" s="4" t="s">
        <v>836</v>
      </c>
      <c r="F55" s="6"/>
      <c r="L55" s="5"/>
      <c r="M55" s="3"/>
    </row>
    <row r="56" spans="2:13">
      <c r="B56" s="5" t="s">
        <v>5336</v>
      </c>
      <c r="C56" s="5" t="s">
        <v>832</v>
      </c>
      <c r="D56" s="6" t="s">
        <v>1356</v>
      </c>
      <c r="E56" s="6" t="s">
        <v>738</v>
      </c>
      <c r="F56" s="6"/>
      <c r="L56" s="5"/>
      <c r="M56" s="3"/>
    </row>
    <row r="57" spans="2:13">
      <c r="B57" s="5" t="s">
        <v>5354</v>
      </c>
      <c r="C57" s="5" t="s">
        <v>832</v>
      </c>
      <c r="D57" s="6" t="s">
        <v>875</v>
      </c>
      <c r="E57" s="6" t="s">
        <v>738</v>
      </c>
      <c r="F57" s="6"/>
      <c r="L57" s="5"/>
      <c r="M57" s="3"/>
    </row>
    <row r="58" spans="2:13">
      <c r="B58" s="5" t="s">
        <v>5332</v>
      </c>
      <c r="C58" s="5" t="s">
        <v>832</v>
      </c>
      <c r="D58" s="6" t="s">
        <v>1349</v>
      </c>
      <c r="E58" s="6" t="s">
        <v>1717</v>
      </c>
      <c r="F58" s="6"/>
      <c r="L58" s="5"/>
      <c r="M58" s="3"/>
    </row>
  </sheetData>
  <mergeCells count="19">
    <mergeCell ref="A15:L15"/>
    <mergeCell ref="A20:L20"/>
    <mergeCell ref="A24:L24"/>
    <mergeCell ref="A34:L34"/>
    <mergeCell ref="A38:L38"/>
    <mergeCell ref="A9:L9"/>
    <mergeCell ref="A12:L12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  <mergeCell ref="A5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U7"/>
  <sheetViews>
    <sheetView workbookViewId="0">
      <selection sqref="A1:U2"/>
    </sheetView>
  </sheetViews>
  <sheetFormatPr defaultColWidth="9.140625" defaultRowHeight="12.95"/>
  <cols>
    <col min="1" max="1" width="7.42578125" style="5" bestFit="1" customWidth="1"/>
    <col min="2" max="2" width="21.28515625" style="5" customWidth="1"/>
    <col min="3" max="3" width="26.28515625" style="5" bestFit="1" customWidth="1"/>
    <col min="4" max="4" width="21.42578125" style="5" bestFit="1" customWidth="1"/>
    <col min="5" max="5" width="10.42578125" style="5" bestFit="1" customWidth="1"/>
    <col min="6" max="6" width="22.85546875" style="5" customWidth="1"/>
    <col min="7" max="9" width="5.42578125" style="6" bestFit="1" customWidth="1"/>
    <col min="10" max="10" width="4.85546875" style="6" bestFit="1" customWidth="1"/>
    <col min="11" max="13" width="5.42578125" style="6" bestFit="1" customWidth="1"/>
    <col min="14" max="14" width="4.85546875" style="6" bestFit="1" customWidth="1"/>
    <col min="15" max="17" width="5.42578125" style="6" bestFit="1" customWidth="1"/>
    <col min="18" max="18" width="4.85546875" style="6" bestFit="1" customWidth="1"/>
    <col min="19" max="19" width="7.85546875" style="6" bestFit="1" customWidth="1"/>
    <col min="20" max="20" width="8.42578125" style="6" bestFit="1" customWidth="1"/>
    <col min="21" max="21" width="19.85546875" style="5" customWidth="1"/>
    <col min="22" max="16384" width="9.140625" style="3"/>
  </cols>
  <sheetData>
    <row r="1" spans="1:21" s="2" customFormat="1" ht="29.1" customHeight="1">
      <c r="A1" s="103" t="s">
        <v>2033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/>
    </row>
    <row r="2" spans="1:21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9"/>
    </row>
    <row r="3" spans="1:21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5</v>
      </c>
      <c r="F3" s="114" t="s">
        <v>6</v>
      </c>
      <c r="G3" s="114" t="s">
        <v>7</v>
      </c>
      <c r="H3" s="114"/>
      <c r="I3" s="114"/>
      <c r="J3" s="114"/>
      <c r="K3" s="114" t="s">
        <v>8</v>
      </c>
      <c r="L3" s="114"/>
      <c r="M3" s="114"/>
      <c r="N3" s="114"/>
      <c r="O3" s="114" t="s">
        <v>9</v>
      </c>
      <c r="P3" s="114"/>
      <c r="Q3" s="114"/>
      <c r="R3" s="114"/>
      <c r="S3" s="114" t="s">
        <v>10</v>
      </c>
      <c r="T3" s="114" t="s">
        <v>11</v>
      </c>
      <c r="U3" s="99" t="s">
        <v>12</v>
      </c>
    </row>
    <row r="4" spans="1:21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96">
        <v>1</v>
      </c>
      <c r="L4" s="96">
        <v>2</v>
      </c>
      <c r="M4" s="96">
        <v>3</v>
      </c>
      <c r="N4" s="96" t="s">
        <v>13</v>
      </c>
      <c r="O4" s="96">
        <v>1</v>
      </c>
      <c r="P4" s="96">
        <v>2</v>
      </c>
      <c r="Q4" s="96">
        <v>3</v>
      </c>
      <c r="R4" s="96" t="s">
        <v>13</v>
      </c>
      <c r="S4" s="113"/>
      <c r="T4" s="113"/>
      <c r="U4" s="100"/>
    </row>
    <row r="5" spans="1:21" ht="15.95">
      <c r="A5" s="101" t="s">
        <v>670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1:21">
      <c r="A6" s="10" t="s">
        <v>15</v>
      </c>
      <c r="B6" s="7" t="s">
        <v>2034</v>
      </c>
      <c r="C6" s="7" t="s">
        <v>2035</v>
      </c>
      <c r="D6" s="7" t="s">
        <v>698</v>
      </c>
      <c r="E6" s="7" t="str">
        <f>"0,6111"</f>
        <v>0,6111</v>
      </c>
      <c r="F6" s="7" t="s">
        <v>91</v>
      </c>
      <c r="G6" s="8" t="s">
        <v>368</v>
      </c>
      <c r="H6" s="8" t="s">
        <v>374</v>
      </c>
      <c r="I6" s="8" t="s">
        <v>384</v>
      </c>
      <c r="J6" s="10"/>
      <c r="K6" s="8" t="s">
        <v>46</v>
      </c>
      <c r="L6" s="8" t="s">
        <v>47</v>
      </c>
      <c r="M6" s="8" t="s">
        <v>55</v>
      </c>
      <c r="N6" s="10"/>
      <c r="O6" s="8" t="s">
        <v>384</v>
      </c>
      <c r="P6" s="8" t="s">
        <v>420</v>
      </c>
      <c r="Q6" s="8" t="s">
        <v>507</v>
      </c>
      <c r="R6" s="10"/>
      <c r="S6" s="10" t="str">
        <f>"550,0"</f>
        <v>550,0</v>
      </c>
      <c r="T6" s="10" t="str">
        <f>"336,1050"</f>
        <v>336,1050</v>
      </c>
      <c r="U6" s="7" t="s">
        <v>158</v>
      </c>
    </row>
    <row r="7" spans="1:21">
      <c r="B7" s="5" t="s">
        <v>40</v>
      </c>
    </row>
  </sheetData>
  <mergeCells count="14">
    <mergeCell ref="A5:T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9"/>
  <sheetViews>
    <sheetView workbookViewId="0">
      <selection sqref="A1:M2"/>
    </sheetView>
  </sheetViews>
  <sheetFormatPr defaultColWidth="9.140625" defaultRowHeight="12.95"/>
  <cols>
    <col min="1" max="1" width="7.42578125" style="6" bestFit="1" customWidth="1"/>
    <col min="2" max="2" width="20.28515625" style="5" bestFit="1" customWidth="1"/>
    <col min="3" max="3" width="26.28515625" style="5" bestFit="1" customWidth="1"/>
    <col min="4" max="4" width="21.42578125" style="5" bestFit="1" customWidth="1"/>
    <col min="5" max="5" width="10.42578125" style="5" bestFit="1" customWidth="1"/>
    <col min="6" max="6" width="20.42578125" style="5" bestFit="1" customWidth="1"/>
    <col min="7" max="10" width="5.42578125" style="6" bestFit="1" customWidth="1"/>
    <col min="11" max="11" width="11.28515625" style="39" bestFit="1" customWidth="1"/>
    <col min="12" max="12" width="8.42578125" style="6" bestFit="1" customWidth="1"/>
    <col min="13" max="13" width="22.28515625" style="5" customWidth="1"/>
    <col min="14" max="16384" width="9.140625" style="3"/>
  </cols>
  <sheetData>
    <row r="1" spans="1:13" s="2" customFormat="1" ht="29.1" customHeight="1">
      <c r="A1" s="103" t="s">
        <v>5372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6"/>
    </row>
    <row r="2" spans="1:13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9"/>
    </row>
    <row r="3" spans="1:13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5</v>
      </c>
      <c r="F3" s="114" t="s">
        <v>6</v>
      </c>
      <c r="G3" s="114" t="s">
        <v>9</v>
      </c>
      <c r="H3" s="114"/>
      <c r="I3" s="114"/>
      <c r="J3" s="114"/>
      <c r="K3" s="117" t="s">
        <v>2294</v>
      </c>
      <c r="L3" s="114" t="s">
        <v>11</v>
      </c>
      <c r="M3" s="99" t="s">
        <v>12</v>
      </c>
    </row>
    <row r="4" spans="1:13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118"/>
      <c r="L4" s="113"/>
      <c r="M4" s="100"/>
    </row>
    <row r="5" spans="1:13" ht="15.95">
      <c r="A5" s="101" t="s">
        <v>195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3">
      <c r="A6" s="10" t="s">
        <v>15</v>
      </c>
      <c r="B6" s="7" t="s">
        <v>2414</v>
      </c>
      <c r="C6" s="7" t="s">
        <v>4282</v>
      </c>
      <c r="D6" s="7" t="s">
        <v>208</v>
      </c>
      <c r="E6" s="7" t="str">
        <f>"0,8648"</f>
        <v>0,8648</v>
      </c>
      <c r="F6" s="7" t="s">
        <v>720</v>
      </c>
      <c r="G6" s="9" t="s">
        <v>627</v>
      </c>
      <c r="H6" s="8" t="s">
        <v>627</v>
      </c>
      <c r="I6" s="8" t="s">
        <v>490</v>
      </c>
      <c r="J6" s="10"/>
      <c r="K6" s="41" t="str">
        <f>"250,0"</f>
        <v>250,0</v>
      </c>
      <c r="L6" s="10" t="str">
        <f>"216,2000"</f>
        <v>216,2000</v>
      </c>
      <c r="M6" s="7" t="s">
        <v>158</v>
      </c>
    </row>
    <row r="7" spans="1:13">
      <c r="B7" s="5" t="s">
        <v>40</v>
      </c>
    </row>
    <row r="8" spans="1:13" ht="15.95">
      <c r="A8" s="102" t="s">
        <v>241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3">
      <c r="A9" s="10" t="s">
        <v>15</v>
      </c>
      <c r="B9" s="7" t="s">
        <v>5373</v>
      </c>
      <c r="C9" s="7" t="s">
        <v>5374</v>
      </c>
      <c r="D9" s="7" t="s">
        <v>293</v>
      </c>
      <c r="E9" s="7" t="str">
        <f>"0,7738"</f>
        <v>0,7738</v>
      </c>
      <c r="F9" s="7" t="s">
        <v>91</v>
      </c>
      <c r="G9" s="8" t="s">
        <v>529</v>
      </c>
      <c r="H9" s="9" t="s">
        <v>628</v>
      </c>
      <c r="I9" s="10"/>
      <c r="J9" s="10"/>
      <c r="K9" s="41" t="str">
        <f>"255,0"</f>
        <v>255,0</v>
      </c>
      <c r="L9" s="10" t="str">
        <f>"197,3190"</f>
        <v>197,3190</v>
      </c>
      <c r="M9" s="7" t="s">
        <v>158</v>
      </c>
    </row>
    <row r="10" spans="1:13">
      <c r="B10" s="5" t="s">
        <v>40</v>
      </c>
    </row>
    <row r="11" spans="1:13" ht="15.95">
      <c r="A11" s="102" t="s">
        <v>301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</row>
    <row r="12" spans="1:13">
      <c r="A12" s="13" t="s">
        <v>15</v>
      </c>
      <c r="B12" s="11" t="s">
        <v>4502</v>
      </c>
      <c r="C12" s="11" t="s">
        <v>4503</v>
      </c>
      <c r="D12" s="11" t="s">
        <v>440</v>
      </c>
      <c r="E12" s="11" t="str">
        <f>"0,7173"</f>
        <v>0,7173</v>
      </c>
      <c r="F12" s="11" t="s">
        <v>513</v>
      </c>
      <c r="G12" s="12" t="s">
        <v>804</v>
      </c>
      <c r="H12" s="12" t="s">
        <v>1043</v>
      </c>
      <c r="I12" s="12" t="s">
        <v>1086</v>
      </c>
      <c r="J12" s="13"/>
      <c r="K12" s="37" t="str">
        <f>"320,0"</f>
        <v>320,0</v>
      </c>
      <c r="L12" s="13" t="str">
        <f>"229,5360"</f>
        <v>229,5360</v>
      </c>
      <c r="M12" s="11" t="s">
        <v>158</v>
      </c>
    </row>
    <row r="13" spans="1:13">
      <c r="A13" s="17" t="s">
        <v>62</v>
      </c>
      <c r="B13" s="14" t="s">
        <v>5375</v>
      </c>
      <c r="C13" s="14" t="s">
        <v>4612</v>
      </c>
      <c r="D13" s="14" t="s">
        <v>949</v>
      </c>
      <c r="E13" s="14" t="str">
        <f>"0,7235"</f>
        <v>0,7235</v>
      </c>
      <c r="F13" s="14" t="s">
        <v>4972</v>
      </c>
      <c r="G13" s="15" t="s">
        <v>822</v>
      </c>
      <c r="H13" s="15" t="s">
        <v>804</v>
      </c>
      <c r="I13" s="16" t="s">
        <v>1030</v>
      </c>
      <c r="J13" s="16" t="s">
        <v>5376</v>
      </c>
      <c r="K13" s="40" t="str">
        <f>"300,0"</f>
        <v>300,0</v>
      </c>
      <c r="L13" s="17" t="str">
        <f>"217,0500"</f>
        <v>217,0500</v>
      </c>
      <c r="M13" s="14" t="s">
        <v>158</v>
      </c>
    </row>
    <row r="14" spans="1:13">
      <c r="A14" s="20" t="s">
        <v>73</v>
      </c>
      <c r="B14" s="18" t="s">
        <v>5377</v>
      </c>
      <c r="C14" s="18" t="s">
        <v>5378</v>
      </c>
      <c r="D14" s="18" t="s">
        <v>419</v>
      </c>
      <c r="E14" s="18" t="str">
        <f>"0,7166"</f>
        <v>0,7166</v>
      </c>
      <c r="F14" s="18" t="s">
        <v>4479</v>
      </c>
      <c r="G14" s="19" t="s">
        <v>738</v>
      </c>
      <c r="H14" s="22" t="s">
        <v>804</v>
      </c>
      <c r="I14" s="22" t="s">
        <v>804</v>
      </c>
      <c r="J14" s="22" t="s">
        <v>1194</v>
      </c>
      <c r="K14" s="38" t="str">
        <f>"280,0"</f>
        <v>280,0</v>
      </c>
      <c r="L14" s="20" t="str">
        <f>"200,6480"</f>
        <v>200,6480</v>
      </c>
      <c r="M14" s="18" t="s">
        <v>4480</v>
      </c>
    </row>
    <row r="15" spans="1:13">
      <c r="B15" s="5" t="s">
        <v>40</v>
      </c>
    </row>
    <row r="16" spans="1:13" ht="15.95">
      <c r="A16" s="102" t="s">
        <v>334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</row>
    <row r="17" spans="1:13">
      <c r="A17" s="13" t="s">
        <v>15</v>
      </c>
      <c r="B17" s="11" t="s">
        <v>5241</v>
      </c>
      <c r="C17" s="11" t="s">
        <v>5242</v>
      </c>
      <c r="D17" s="11" t="s">
        <v>539</v>
      </c>
      <c r="E17" s="11" t="str">
        <f>"0,6729"</f>
        <v>0,6729</v>
      </c>
      <c r="F17" s="45" t="s">
        <v>2891</v>
      </c>
      <c r="G17" s="54" t="s">
        <v>1329</v>
      </c>
      <c r="H17" s="12" t="s">
        <v>1345</v>
      </c>
      <c r="I17" s="48" t="s">
        <v>1335</v>
      </c>
      <c r="J17" s="48" t="s">
        <v>1335</v>
      </c>
      <c r="K17" s="37" t="str">
        <f>"390,0"</f>
        <v>390,0</v>
      </c>
      <c r="L17" s="13" t="str">
        <f>"262,4310"</f>
        <v>262,4310</v>
      </c>
      <c r="M17" s="11" t="s">
        <v>1054</v>
      </c>
    </row>
    <row r="18" spans="1:13">
      <c r="A18" s="17" t="s">
        <v>62</v>
      </c>
      <c r="B18" s="14" t="s">
        <v>4508</v>
      </c>
      <c r="C18" s="14" t="s">
        <v>4509</v>
      </c>
      <c r="D18" s="14" t="s">
        <v>521</v>
      </c>
      <c r="E18" s="14" t="str">
        <f>"0,6754"</f>
        <v>0,6754</v>
      </c>
      <c r="F18" s="46" t="s">
        <v>91</v>
      </c>
      <c r="G18" s="56" t="s">
        <v>1030</v>
      </c>
      <c r="H18" s="16" t="s">
        <v>1086</v>
      </c>
      <c r="I18" s="57" t="s">
        <v>1086</v>
      </c>
      <c r="J18" s="49"/>
      <c r="K18" s="40" t="str">
        <f>"320,0"</f>
        <v>320,0</v>
      </c>
      <c r="L18" s="17" t="str">
        <f>"216,1280"</f>
        <v>216,1280</v>
      </c>
      <c r="M18" s="14" t="s">
        <v>158</v>
      </c>
    </row>
    <row r="19" spans="1:13">
      <c r="A19" s="17" t="s">
        <v>73</v>
      </c>
      <c r="B19" s="14" t="s">
        <v>5246</v>
      </c>
      <c r="C19" s="14" t="s">
        <v>1495</v>
      </c>
      <c r="D19" s="14" t="s">
        <v>1685</v>
      </c>
      <c r="E19" s="14" t="str">
        <f>"0,6734"</f>
        <v>0,6734</v>
      </c>
      <c r="F19" s="46" t="s">
        <v>528</v>
      </c>
      <c r="G19" s="58" t="s">
        <v>804</v>
      </c>
      <c r="H19" s="15" t="s">
        <v>804</v>
      </c>
      <c r="I19" s="50" t="s">
        <v>1086</v>
      </c>
      <c r="J19" s="50" t="s">
        <v>1086</v>
      </c>
      <c r="K19" s="40" t="str">
        <f>"300,0"</f>
        <v>300,0</v>
      </c>
      <c r="L19" s="17" t="str">
        <f>"202,0200"</f>
        <v>202,0200</v>
      </c>
      <c r="M19" s="14" t="s">
        <v>158</v>
      </c>
    </row>
    <row r="20" spans="1:13">
      <c r="A20" s="20" t="s">
        <v>92</v>
      </c>
      <c r="B20" s="18" t="s">
        <v>5379</v>
      </c>
      <c r="C20" s="18" t="s">
        <v>5380</v>
      </c>
      <c r="D20" s="18" t="s">
        <v>1458</v>
      </c>
      <c r="E20" s="18" t="str">
        <f>"0,6709"</f>
        <v>0,6709</v>
      </c>
      <c r="F20" s="47" t="s">
        <v>2513</v>
      </c>
      <c r="G20" s="59" t="s">
        <v>1086</v>
      </c>
      <c r="H20" s="22" t="s">
        <v>1086</v>
      </c>
      <c r="I20" s="61"/>
      <c r="J20" s="51" t="s">
        <v>1086</v>
      </c>
      <c r="K20" s="38">
        <v>0</v>
      </c>
      <c r="L20" s="20" t="str">
        <f>"0,0000"</f>
        <v>0,0000</v>
      </c>
      <c r="M20" s="18" t="s">
        <v>158</v>
      </c>
    </row>
    <row r="21" spans="1:13">
      <c r="B21" s="5" t="s">
        <v>40</v>
      </c>
    </row>
    <row r="22" spans="1:13" ht="15.95">
      <c r="A22" s="102" t="s">
        <v>598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</row>
    <row r="23" spans="1:13">
      <c r="A23" s="13" t="s">
        <v>15</v>
      </c>
      <c r="B23" s="11" t="s">
        <v>5381</v>
      </c>
      <c r="C23" s="11" t="s">
        <v>5382</v>
      </c>
      <c r="D23" s="11" t="s">
        <v>1085</v>
      </c>
      <c r="E23" s="11" t="str">
        <f>"0,6455"</f>
        <v>0,6455</v>
      </c>
      <c r="F23" s="11" t="s">
        <v>1803</v>
      </c>
      <c r="G23" s="12" t="s">
        <v>1339</v>
      </c>
      <c r="H23" s="21" t="s">
        <v>5383</v>
      </c>
      <c r="I23" s="21" t="s">
        <v>5383</v>
      </c>
      <c r="J23" s="21" t="s">
        <v>5383</v>
      </c>
      <c r="K23" s="37" t="str">
        <f>"370,0"</f>
        <v>370,0</v>
      </c>
      <c r="L23" s="13" t="str">
        <f>"238,8350"</f>
        <v>238,8350</v>
      </c>
      <c r="M23" s="11" t="s">
        <v>1496</v>
      </c>
    </row>
    <row r="24" spans="1:13">
      <c r="A24" s="17" t="s">
        <v>62</v>
      </c>
      <c r="B24" s="14" t="s">
        <v>5384</v>
      </c>
      <c r="C24" s="14" t="s">
        <v>5385</v>
      </c>
      <c r="D24" s="14" t="s">
        <v>660</v>
      </c>
      <c r="E24" s="14" t="str">
        <f>"0,6417"</f>
        <v>0,6417</v>
      </c>
      <c r="F24" s="14" t="s">
        <v>4157</v>
      </c>
      <c r="G24" s="15" t="s">
        <v>1142</v>
      </c>
      <c r="H24" s="16" t="s">
        <v>1909</v>
      </c>
      <c r="I24" s="16" t="s">
        <v>1909</v>
      </c>
      <c r="J24" s="16" t="s">
        <v>1909</v>
      </c>
      <c r="K24" s="40" t="str">
        <f>"360,0"</f>
        <v>360,0</v>
      </c>
      <c r="L24" s="17" t="str">
        <f>"231,0120"</f>
        <v>231,0120</v>
      </c>
      <c r="M24" s="14" t="s">
        <v>1601</v>
      </c>
    </row>
    <row r="25" spans="1:13">
      <c r="A25" s="17" t="s">
        <v>73</v>
      </c>
      <c r="B25" s="14" t="s">
        <v>5386</v>
      </c>
      <c r="C25" s="14" t="s">
        <v>5387</v>
      </c>
      <c r="D25" s="14" t="s">
        <v>1081</v>
      </c>
      <c r="E25" s="14" t="str">
        <f>"0,6384"</f>
        <v>0,6384</v>
      </c>
      <c r="F25" s="14" t="s">
        <v>906</v>
      </c>
      <c r="G25" s="15" t="s">
        <v>1151</v>
      </c>
      <c r="H25" s="15" t="s">
        <v>842</v>
      </c>
      <c r="I25" s="16" t="s">
        <v>1229</v>
      </c>
      <c r="J25" s="16" t="s">
        <v>1229</v>
      </c>
      <c r="K25" s="40" t="str">
        <f>"340,0"</f>
        <v>340,0</v>
      </c>
      <c r="L25" s="17" t="str">
        <f>"217,0560"</f>
        <v>217,0560</v>
      </c>
      <c r="M25" s="14" t="s">
        <v>158</v>
      </c>
    </row>
    <row r="26" spans="1:13">
      <c r="A26" s="20" t="s">
        <v>75</v>
      </c>
      <c r="B26" s="18" t="s">
        <v>5388</v>
      </c>
      <c r="C26" s="18" t="s">
        <v>3368</v>
      </c>
      <c r="D26" s="18" t="s">
        <v>643</v>
      </c>
      <c r="E26" s="18" t="str">
        <f>"0,6391"</f>
        <v>0,6391</v>
      </c>
      <c r="F26" s="18" t="s">
        <v>1651</v>
      </c>
      <c r="G26" s="19" t="s">
        <v>1043</v>
      </c>
      <c r="H26" s="22" t="s">
        <v>1151</v>
      </c>
      <c r="I26" s="20"/>
      <c r="J26" s="20"/>
      <c r="K26" s="38" t="str">
        <f>"310,0"</f>
        <v>310,0</v>
      </c>
      <c r="L26" s="20" t="str">
        <f>"198,1210"</f>
        <v>198,1210</v>
      </c>
      <c r="M26" s="18" t="s">
        <v>158</v>
      </c>
    </row>
    <row r="27" spans="1:13">
      <c r="B27" s="5" t="s">
        <v>40</v>
      </c>
    </row>
    <row r="28" spans="1:13" ht="15.95">
      <c r="A28" s="102" t="s">
        <v>670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</row>
    <row r="29" spans="1:13">
      <c r="A29" s="13" t="s">
        <v>15</v>
      </c>
      <c r="B29" s="11" t="s">
        <v>5389</v>
      </c>
      <c r="C29" s="11" t="s">
        <v>5390</v>
      </c>
      <c r="D29" s="11" t="s">
        <v>2795</v>
      </c>
      <c r="E29" s="11" t="str">
        <f>"0,6161"</f>
        <v>0,6161</v>
      </c>
      <c r="F29" s="11" t="s">
        <v>1391</v>
      </c>
      <c r="G29" s="21" t="s">
        <v>1142</v>
      </c>
      <c r="H29" s="12" t="s">
        <v>1142</v>
      </c>
      <c r="I29" s="21" t="s">
        <v>1768</v>
      </c>
      <c r="J29" s="13"/>
      <c r="K29" s="37" t="str">
        <f>"360,0"</f>
        <v>360,0</v>
      </c>
      <c r="L29" s="13" t="str">
        <f>"221,7960"</f>
        <v>221,7960</v>
      </c>
      <c r="M29" s="11" t="s">
        <v>158</v>
      </c>
    </row>
    <row r="30" spans="1:13">
      <c r="A30" s="17" t="s">
        <v>62</v>
      </c>
      <c r="B30" s="14" t="s">
        <v>5391</v>
      </c>
      <c r="C30" s="14" t="s">
        <v>5392</v>
      </c>
      <c r="D30" s="14" t="s">
        <v>677</v>
      </c>
      <c r="E30" s="14" t="str">
        <f>"0,6098"</f>
        <v>0,6098</v>
      </c>
      <c r="F30" s="14" t="s">
        <v>91</v>
      </c>
      <c r="G30" s="16" t="s">
        <v>1229</v>
      </c>
      <c r="H30" s="16" t="s">
        <v>1142</v>
      </c>
      <c r="I30" s="15" t="s">
        <v>1142</v>
      </c>
      <c r="J30" s="17"/>
      <c r="K30" s="40" t="str">
        <f>"360,0"</f>
        <v>360,0</v>
      </c>
      <c r="L30" s="17" t="str">
        <f>"219,5280"</f>
        <v>219,5280</v>
      </c>
      <c r="M30" s="14" t="s">
        <v>158</v>
      </c>
    </row>
    <row r="31" spans="1:13">
      <c r="A31" s="20" t="s">
        <v>73</v>
      </c>
      <c r="B31" s="18" t="s">
        <v>3075</v>
      </c>
      <c r="C31" s="18" t="s">
        <v>5393</v>
      </c>
      <c r="D31" s="18" t="s">
        <v>708</v>
      </c>
      <c r="E31" s="18" t="str">
        <f>"0,6086"</f>
        <v>0,6086</v>
      </c>
      <c r="F31" s="18" t="s">
        <v>91</v>
      </c>
      <c r="G31" s="19" t="s">
        <v>1292</v>
      </c>
      <c r="H31" s="19" t="s">
        <v>5394</v>
      </c>
      <c r="I31" s="22" t="s">
        <v>3747</v>
      </c>
      <c r="J31" s="20"/>
      <c r="K31" s="38" t="str">
        <f>"352,5"</f>
        <v>352,5</v>
      </c>
      <c r="L31" s="20" t="str">
        <f>"214,5315"</f>
        <v>214,5315</v>
      </c>
      <c r="M31" s="18" t="s">
        <v>158</v>
      </c>
    </row>
    <row r="32" spans="1:13">
      <c r="B32" s="5" t="s">
        <v>40</v>
      </c>
    </row>
    <row r="33" spans="1:13" ht="15.95">
      <c r="A33" s="102" t="s">
        <v>724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</row>
    <row r="34" spans="1:13">
      <c r="A34" s="13" t="s">
        <v>15</v>
      </c>
      <c r="B34" s="11" t="s">
        <v>4566</v>
      </c>
      <c r="C34" s="11" t="s">
        <v>4567</v>
      </c>
      <c r="D34" s="11" t="s">
        <v>1257</v>
      </c>
      <c r="E34" s="11" t="str">
        <f>"0,5892"</f>
        <v>0,5892</v>
      </c>
      <c r="F34" s="11" t="s">
        <v>5395</v>
      </c>
      <c r="G34" s="12" t="s">
        <v>1345</v>
      </c>
      <c r="H34" s="12" t="s">
        <v>4568</v>
      </c>
      <c r="I34" s="21" t="s">
        <v>4569</v>
      </c>
      <c r="J34" s="13"/>
      <c r="K34" s="37" t="str">
        <f>"402,5"</f>
        <v>402,5</v>
      </c>
      <c r="L34" s="13" t="str">
        <f>"237,1530"</f>
        <v>237,1530</v>
      </c>
      <c r="M34" s="11" t="s">
        <v>4529</v>
      </c>
    </row>
    <row r="35" spans="1:13">
      <c r="A35" s="17" t="s">
        <v>62</v>
      </c>
      <c r="B35" s="14" t="s">
        <v>5396</v>
      </c>
      <c r="C35" s="14" t="s">
        <v>5397</v>
      </c>
      <c r="D35" s="14" t="s">
        <v>3335</v>
      </c>
      <c r="E35" s="14" t="str">
        <f>"0,5943"</f>
        <v>0,5943</v>
      </c>
      <c r="F35" s="14" t="s">
        <v>4582</v>
      </c>
      <c r="G35" s="15" t="s">
        <v>1142</v>
      </c>
      <c r="H35" s="16" t="s">
        <v>1909</v>
      </c>
      <c r="I35" s="15" t="s">
        <v>1909</v>
      </c>
      <c r="J35" s="16" t="s">
        <v>1345</v>
      </c>
      <c r="K35" s="40" t="str">
        <f>"380,0"</f>
        <v>380,0</v>
      </c>
      <c r="L35" s="17" t="str">
        <f>"225,8340"</f>
        <v>225,8340</v>
      </c>
      <c r="M35" s="14" t="s">
        <v>5398</v>
      </c>
    </row>
    <row r="36" spans="1:13">
      <c r="A36" s="17" t="s">
        <v>73</v>
      </c>
      <c r="B36" s="14" t="s">
        <v>5270</v>
      </c>
      <c r="C36" s="14" t="s">
        <v>5271</v>
      </c>
      <c r="D36" s="14" t="s">
        <v>732</v>
      </c>
      <c r="E36" s="14" t="str">
        <f>"0,5890"</f>
        <v>0,5890</v>
      </c>
      <c r="F36" s="14" t="s">
        <v>5272</v>
      </c>
      <c r="G36" s="16" t="s">
        <v>1909</v>
      </c>
      <c r="H36" s="17"/>
      <c r="I36" s="16" t="s">
        <v>1909</v>
      </c>
      <c r="J36" s="15" t="s">
        <v>1909</v>
      </c>
      <c r="K36" s="40" t="str">
        <f>"380,0"</f>
        <v>380,0</v>
      </c>
      <c r="L36" s="17" t="str">
        <f>"223,8200"</f>
        <v>223,8200</v>
      </c>
      <c r="M36" s="14" t="s">
        <v>158</v>
      </c>
    </row>
    <row r="37" spans="1:13">
      <c r="A37" s="17" t="s">
        <v>75</v>
      </c>
      <c r="B37" s="14" t="s">
        <v>5399</v>
      </c>
      <c r="C37" s="14" t="s">
        <v>5400</v>
      </c>
      <c r="D37" s="14" t="s">
        <v>5401</v>
      </c>
      <c r="E37" s="14" t="str">
        <f>"0,6048"</f>
        <v>0,6048</v>
      </c>
      <c r="F37" s="14" t="s">
        <v>91</v>
      </c>
      <c r="G37" s="15" t="s">
        <v>1229</v>
      </c>
      <c r="H37" s="15" t="s">
        <v>1329</v>
      </c>
      <c r="I37" s="15" t="s">
        <v>1768</v>
      </c>
      <c r="J37" s="17"/>
      <c r="K37" s="40" t="str">
        <f>"375,0"</f>
        <v>375,0</v>
      </c>
      <c r="L37" s="17" t="str">
        <f>"226,8000"</f>
        <v>226,8000</v>
      </c>
      <c r="M37" s="14" t="s">
        <v>158</v>
      </c>
    </row>
    <row r="38" spans="1:13">
      <c r="A38" s="17" t="s">
        <v>87</v>
      </c>
      <c r="B38" s="14" t="s">
        <v>5402</v>
      </c>
      <c r="C38" s="14" t="s">
        <v>5403</v>
      </c>
      <c r="D38" s="14" t="s">
        <v>5404</v>
      </c>
      <c r="E38" s="14" t="str">
        <f>"0,5958"</f>
        <v>0,5958</v>
      </c>
      <c r="F38" s="14" t="s">
        <v>1522</v>
      </c>
      <c r="G38" s="15" t="s">
        <v>1142</v>
      </c>
      <c r="H38" s="15" t="s">
        <v>5405</v>
      </c>
      <c r="I38" s="15" t="s">
        <v>5406</v>
      </c>
      <c r="J38" s="16" t="s">
        <v>845</v>
      </c>
      <c r="K38" s="40" t="str">
        <f>"372,5"</f>
        <v>372,5</v>
      </c>
      <c r="L38" s="17" t="str">
        <f>"221,9355"</f>
        <v>221,9355</v>
      </c>
      <c r="M38" s="14" t="s">
        <v>158</v>
      </c>
    </row>
    <row r="39" spans="1:13">
      <c r="A39" s="20" t="s">
        <v>168</v>
      </c>
      <c r="B39" s="18" t="s">
        <v>5407</v>
      </c>
      <c r="C39" s="18" t="s">
        <v>5408</v>
      </c>
      <c r="D39" s="18" t="s">
        <v>776</v>
      </c>
      <c r="E39" s="18" t="str">
        <f>"0,5910"</f>
        <v>0,5910</v>
      </c>
      <c r="F39" s="18" t="s">
        <v>5409</v>
      </c>
      <c r="G39" s="19" t="s">
        <v>842</v>
      </c>
      <c r="H39" s="19" t="s">
        <v>1141</v>
      </c>
      <c r="I39" s="22" t="s">
        <v>1339</v>
      </c>
      <c r="J39" s="22" t="s">
        <v>1339</v>
      </c>
      <c r="K39" s="38" t="str">
        <f>"355,0"</f>
        <v>355,0</v>
      </c>
      <c r="L39" s="20" t="str">
        <f>"209,8050"</f>
        <v>209,8050</v>
      </c>
      <c r="M39" s="18" t="s">
        <v>5410</v>
      </c>
    </row>
    <row r="40" spans="1:13">
      <c r="B40" s="5" t="s">
        <v>40</v>
      </c>
    </row>
    <row r="41" spans="1:13" ht="15.95">
      <c r="A41" s="102" t="s">
        <v>783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</row>
    <row r="42" spans="1:13">
      <c r="A42" s="10" t="s">
        <v>15</v>
      </c>
      <c r="B42" s="7" t="s">
        <v>5411</v>
      </c>
      <c r="C42" s="7" t="s">
        <v>5412</v>
      </c>
      <c r="D42" s="7" t="s">
        <v>2191</v>
      </c>
      <c r="E42" s="7" t="str">
        <f>"0,5705"</f>
        <v>0,5705</v>
      </c>
      <c r="F42" s="7" t="s">
        <v>5279</v>
      </c>
      <c r="G42" s="8" t="s">
        <v>1229</v>
      </c>
      <c r="H42" s="8" t="s">
        <v>1339</v>
      </c>
      <c r="I42" s="8" t="s">
        <v>1909</v>
      </c>
      <c r="J42" s="10"/>
      <c r="K42" s="41" t="str">
        <f>"380,0"</f>
        <v>380,0</v>
      </c>
      <c r="L42" s="10" t="str">
        <f>"216,7900"</f>
        <v>216,7900</v>
      </c>
      <c r="M42" s="7" t="s">
        <v>158</v>
      </c>
    </row>
    <row r="43" spans="1:13">
      <c r="B43" s="5" t="s">
        <v>40</v>
      </c>
    </row>
    <row r="44" spans="1:13" ht="15.95">
      <c r="A44" s="102" t="s">
        <v>794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1:13">
      <c r="A45" s="13" t="s">
        <v>15</v>
      </c>
      <c r="B45" s="11" t="s">
        <v>5413</v>
      </c>
      <c r="C45" s="11" t="s">
        <v>5414</v>
      </c>
      <c r="D45" s="11" t="s">
        <v>4873</v>
      </c>
      <c r="E45" s="11" t="str">
        <f>"0,5680"</f>
        <v>0,5680</v>
      </c>
      <c r="F45" s="11" t="s">
        <v>758</v>
      </c>
      <c r="G45" s="12" t="s">
        <v>3755</v>
      </c>
      <c r="H45" s="12" t="s">
        <v>4569</v>
      </c>
      <c r="I45" s="21" t="s">
        <v>5415</v>
      </c>
      <c r="J45" s="21" t="s">
        <v>5415</v>
      </c>
      <c r="K45" s="37" t="str">
        <f>"412,5"</f>
        <v>412,5</v>
      </c>
      <c r="L45" s="13" t="str">
        <f>"234,3000"</f>
        <v>234,3000</v>
      </c>
      <c r="M45" s="11" t="s">
        <v>759</v>
      </c>
    </row>
    <row r="46" spans="1:13">
      <c r="A46" s="17" t="s">
        <v>62</v>
      </c>
      <c r="B46" s="14" t="s">
        <v>5293</v>
      </c>
      <c r="C46" s="14" t="s">
        <v>5294</v>
      </c>
      <c r="D46" s="14" t="s">
        <v>5295</v>
      </c>
      <c r="E46" s="14" t="str">
        <f>"0,5663"</f>
        <v>0,5663</v>
      </c>
      <c r="F46" s="14" t="s">
        <v>378</v>
      </c>
      <c r="G46" s="15" t="s">
        <v>1141</v>
      </c>
      <c r="H46" s="15" t="s">
        <v>1768</v>
      </c>
      <c r="I46" s="15" t="s">
        <v>2210</v>
      </c>
      <c r="J46" s="15" t="s">
        <v>5296</v>
      </c>
      <c r="K46" s="40" t="str">
        <f>"395,0"</f>
        <v>395,0</v>
      </c>
      <c r="L46" s="17" t="str">
        <f>"223,6885"</f>
        <v>223,6885</v>
      </c>
      <c r="M46" s="14" t="s">
        <v>3538</v>
      </c>
    </row>
    <row r="47" spans="1:13">
      <c r="A47" s="20" t="s">
        <v>73</v>
      </c>
      <c r="B47" s="18" t="s">
        <v>5288</v>
      </c>
      <c r="C47" s="18" t="s">
        <v>5289</v>
      </c>
      <c r="D47" s="18" t="s">
        <v>5290</v>
      </c>
      <c r="E47" s="18" t="str">
        <f>"0,5607"</f>
        <v>0,5607</v>
      </c>
      <c r="F47" s="18" t="s">
        <v>5291</v>
      </c>
      <c r="G47" s="19" t="s">
        <v>1086</v>
      </c>
      <c r="H47" s="19" t="s">
        <v>842</v>
      </c>
      <c r="I47" s="19" t="s">
        <v>1229</v>
      </c>
      <c r="J47" s="22" t="s">
        <v>1142</v>
      </c>
      <c r="K47" s="38" t="str">
        <f>"350,0"</f>
        <v>350,0</v>
      </c>
      <c r="L47" s="20" t="str">
        <f>"196,2450"</f>
        <v>196,2450</v>
      </c>
      <c r="M47" s="18" t="s">
        <v>158</v>
      </c>
    </row>
    <row r="48" spans="1:13">
      <c r="B48" s="5" t="s">
        <v>40</v>
      </c>
    </row>
    <row r="49" spans="1:13" ht="15.95">
      <c r="A49" s="102" t="s">
        <v>818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</row>
    <row r="50" spans="1:13">
      <c r="A50" s="13" t="s">
        <v>15</v>
      </c>
      <c r="B50" s="11" t="s">
        <v>5416</v>
      </c>
      <c r="C50" s="11" t="s">
        <v>5417</v>
      </c>
      <c r="D50" s="11" t="s">
        <v>5418</v>
      </c>
      <c r="E50" s="11" t="str">
        <f>"0,5497"</f>
        <v>0,5497</v>
      </c>
      <c r="F50" s="11" t="s">
        <v>1694</v>
      </c>
      <c r="G50" s="21" t="s">
        <v>5273</v>
      </c>
      <c r="H50" s="12" t="s">
        <v>5273</v>
      </c>
      <c r="I50" s="21" t="s">
        <v>5292</v>
      </c>
      <c r="J50" s="13"/>
      <c r="K50" s="37" t="str">
        <f>"405,0"</f>
        <v>405,0</v>
      </c>
      <c r="L50" s="13" t="str">
        <f>"222,6285"</f>
        <v>222,6285</v>
      </c>
      <c r="M50" s="11" t="s">
        <v>158</v>
      </c>
    </row>
    <row r="51" spans="1:13">
      <c r="A51" s="20" t="s">
        <v>92</v>
      </c>
      <c r="B51" s="18" t="s">
        <v>5306</v>
      </c>
      <c r="C51" s="18" t="s">
        <v>5307</v>
      </c>
      <c r="D51" s="18" t="s">
        <v>5308</v>
      </c>
      <c r="E51" s="18" t="str">
        <f>"0,5507"</f>
        <v>0,5507</v>
      </c>
      <c r="F51" s="18" t="s">
        <v>2868</v>
      </c>
      <c r="G51" s="22" t="s">
        <v>1142</v>
      </c>
      <c r="H51" s="22" t="s">
        <v>1142</v>
      </c>
      <c r="I51" s="22" t="s">
        <v>1142</v>
      </c>
      <c r="J51" s="20"/>
      <c r="K51" s="38">
        <v>0</v>
      </c>
      <c r="L51" s="20" t="str">
        <f>"0,0000"</f>
        <v>0,0000</v>
      </c>
      <c r="M51" s="18" t="s">
        <v>158</v>
      </c>
    </row>
    <row r="52" spans="1:13">
      <c r="B52" s="5" t="s">
        <v>40</v>
      </c>
    </row>
    <row r="55" spans="1:13" ht="18">
      <c r="B55" s="29" t="s">
        <v>5310</v>
      </c>
      <c r="C55" s="23"/>
    </row>
    <row r="56" spans="1:13" ht="15.95">
      <c r="B56" s="95" t="s">
        <v>855</v>
      </c>
      <c r="C56" s="95"/>
    </row>
    <row r="57" spans="1:13" ht="14.1">
      <c r="B57" s="24"/>
      <c r="C57" s="24" t="s">
        <v>832</v>
      </c>
    </row>
    <row r="58" spans="1:13" ht="14.1">
      <c r="B58" s="4" t="s">
        <v>833</v>
      </c>
      <c r="C58" s="4" t="s">
        <v>834</v>
      </c>
      <c r="D58" s="4" t="s">
        <v>835</v>
      </c>
      <c r="E58" s="4" t="s">
        <v>836</v>
      </c>
      <c r="F58" s="4" t="s">
        <v>837</v>
      </c>
    </row>
    <row r="59" spans="1:13">
      <c r="B59" s="5" t="s">
        <v>5241</v>
      </c>
      <c r="C59" s="5" t="s">
        <v>832</v>
      </c>
      <c r="D59" s="6" t="s">
        <v>868</v>
      </c>
      <c r="E59" s="6" t="s">
        <v>1345</v>
      </c>
      <c r="F59" s="6" t="s">
        <v>5419</v>
      </c>
    </row>
    <row r="60" spans="1:13">
      <c r="B60" s="5" t="s">
        <v>5381</v>
      </c>
      <c r="C60" s="5" t="s">
        <v>832</v>
      </c>
      <c r="D60" s="6" t="s">
        <v>858</v>
      </c>
      <c r="E60" s="6" t="s">
        <v>1339</v>
      </c>
      <c r="F60" s="6" t="s">
        <v>5420</v>
      </c>
    </row>
    <row r="61" spans="1:13">
      <c r="B61" s="5" t="s">
        <v>4566</v>
      </c>
      <c r="C61" s="5" t="s">
        <v>832</v>
      </c>
      <c r="D61" s="6" t="s">
        <v>1349</v>
      </c>
      <c r="E61" s="6" t="s">
        <v>4568</v>
      </c>
      <c r="F61" s="6" t="s">
        <v>4639</v>
      </c>
    </row>
    <row r="62" spans="1:13">
      <c r="B62" s="5" t="s">
        <v>40</v>
      </c>
    </row>
    <row r="63" spans="1:13" ht="18">
      <c r="B63" s="29" t="s">
        <v>5316</v>
      </c>
      <c r="C63" s="23"/>
    </row>
    <row r="64" spans="1:13" ht="15.95">
      <c r="B64" s="95" t="s">
        <v>855</v>
      </c>
      <c r="C64" s="95"/>
    </row>
    <row r="65" spans="2:13" ht="14.1">
      <c r="B65" s="24"/>
      <c r="C65" s="24" t="s">
        <v>832</v>
      </c>
    </row>
    <row r="66" spans="2:13" ht="14.1">
      <c r="B66" s="4" t="s">
        <v>833</v>
      </c>
      <c r="C66" s="4" t="s">
        <v>834</v>
      </c>
      <c r="D66" s="4" t="s">
        <v>835</v>
      </c>
      <c r="E66" s="4" t="s">
        <v>836</v>
      </c>
      <c r="F66" s="6"/>
      <c r="L66" s="5"/>
      <c r="M66" s="3"/>
    </row>
    <row r="67" spans="2:13">
      <c r="B67" s="5" t="s">
        <v>5413</v>
      </c>
      <c r="C67" s="5" t="s">
        <v>832</v>
      </c>
      <c r="D67" s="6" t="s">
        <v>875</v>
      </c>
      <c r="E67" s="6" t="s">
        <v>4569</v>
      </c>
      <c r="F67" s="6"/>
      <c r="L67" s="5"/>
      <c r="M67" s="3"/>
    </row>
    <row r="68" spans="2:13">
      <c r="B68" s="5" t="s">
        <v>5416</v>
      </c>
      <c r="C68" s="5" t="s">
        <v>832</v>
      </c>
      <c r="D68" s="6" t="s">
        <v>878</v>
      </c>
      <c r="E68" s="6" t="s">
        <v>5273</v>
      </c>
      <c r="F68" s="6"/>
      <c r="L68" s="5"/>
      <c r="M68" s="3"/>
    </row>
    <row r="69" spans="2:13">
      <c r="B69" s="5" t="s">
        <v>4566</v>
      </c>
      <c r="C69" s="5" t="s">
        <v>832</v>
      </c>
      <c r="D69" s="6" t="s">
        <v>1349</v>
      </c>
      <c r="E69" s="6" t="s">
        <v>4568</v>
      </c>
      <c r="F69" s="6"/>
      <c r="L69" s="5"/>
      <c r="M69" s="3"/>
    </row>
  </sheetData>
  <mergeCells count="21">
    <mergeCell ref="A49:L49"/>
    <mergeCell ref="B3:B4"/>
    <mergeCell ref="A16:L16"/>
    <mergeCell ref="A22:L22"/>
    <mergeCell ref="A28:L28"/>
    <mergeCell ref="A33:L33"/>
    <mergeCell ref="A41:L41"/>
    <mergeCell ref="A44:L44"/>
    <mergeCell ref="K3:K4"/>
    <mergeCell ref="L3:L4"/>
    <mergeCell ref="M3:M4"/>
    <mergeCell ref="A5:L5"/>
    <mergeCell ref="A8:L8"/>
    <mergeCell ref="A11:L11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B14"/>
  <sheetViews>
    <sheetView workbookViewId="0">
      <selection sqref="A1:B2"/>
    </sheetView>
  </sheetViews>
  <sheetFormatPr defaultColWidth="8.85546875" defaultRowHeight="12.95"/>
  <cols>
    <col min="1" max="1" width="23.42578125" customWidth="1"/>
    <col min="2" max="2" width="24.85546875" customWidth="1"/>
  </cols>
  <sheetData>
    <row r="1" spans="1:2" ht="27.95" customHeight="1">
      <c r="A1" s="122" t="s">
        <v>5421</v>
      </c>
      <c r="B1" s="123"/>
    </row>
    <row r="2" spans="1:2" ht="39.950000000000003" customHeight="1">
      <c r="A2" s="124"/>
      <c r="B2" s="125"/>
    </row>
    <row r="4" spans="1:2">
      <c r="A4" s="126" t="s">
        <v>5422</v>
      </c>
      <c r="B4" s="126"/>
    </row>
    <row r="5" spans="1:2" ht="5.0999999999999996" customHeight="1"/>
    <row r="6" spans="1:2">
      <c r="A6" s="98" t="s">
        <v>5423</v>
      </c>
      <c r="B6" s="98" t="s">
        <v>5424</v>
      </c>
    </row>
    <row r="7" spans="1:2">
      <c r="A7" s="98" t="s">
        <v>5425</v>
      </c>
      <c r="B7" s="98" t="s">
        <v>5426</v>
      </c>
    </row>
    <row r="8" spans="1:2">
      <c r="A8" s="98" t="s">
        <v>5427</v>
      </c>
      <c r="B8" s="98" t="s">
        <v>5428</v>
      </c>
    </row>
    <row r="10" spans="1:2">
      <c r="A10" s="127" t="s">
        <v>5429</v>
      </c>
      <c r="B10" s="127"/>
    </row>
    <row r="11" spans="1:2" ht="6" customHeight="1"/>
    <row r="12" spans="1:2">
      <c r="A12" s="98" t="s">
        <v>5423</v>
      </c>
      <c r="B12" s="98" t="s">
        <v>5430</v>
      </c>
    </row>
    <row r="13" spans="1:2">
      <c r="A13" s="98" t="s">
        <v>5425</v>
      </c>
      <c r="B13" s="98" t="s">
        <v>5431</v>
      </c>
    </row>
    <row r="14" spans="1:2">
      <c r="A14" s="98" t="s">
        <v>5427</v>
      </c>
      <c r="B14" s="98" t="s">
        <v>5432</v>
      </c>
    </row>
  </sheetData>
  <mergeCells count="3">
    <mergeCell ref="A1:B2"/>
    <mergeCell ref="A4:B4"/>
    <mergeCell ref="A10:B10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B8B8E-BD29-A14F-9091-77389380278A}">
  <dimension ref="A1:B33"/>
  <sheetViews>
    <sheetView workbookViewId="0">
      <selection sqref="A1:B2"/>
    </sheetView>
  </sheetViews>
  <sheetFormatPr defaultColWidth="8.85546875" defaultRowHeight="12.95"/>
  <cols>
    <col min="1" max="1" width="28.42578125" bestFit="1" customWidth="1"/>
    <col min="2" max="2" width="35.140625" bestFit="1" customWidth="1"/>
  </cols>
  <sheetData>
    <row r="1" spans="1:2" ht="27.95" customHeight="1">
      <c r="A1" s="122" t="s">
        <v>5433</v>
      </c>
      <c r="B1" s="123"/>
    </row>
    <row r="2" spans="1:2" ht="39.950000000000003" customHeight="1">
      <c r="A2" s="124"/>
      <c r="B2" s="125"/>
    </row>
    <row r="4" spans="1:2">
      <c r="A4" t="s">
        <v>5434</v>
      </c>
      <c r="B4" t="s">
        <v>5435</v>
      </c>
    </row>
    <row r="5" spans="1:2">
      <c r="A5" t="s">
        <v>5436</v>
      </c>
      <c r="B5" t="s">
        <v>5437</v>
      </c>
    </row>
    <row r="6" spans="1:2">
      <c r="A6" t="s">
        <v>5438</v>
      </c>
      <c r="B6" t="s">
        <v>5439</v>
      </c>
    </row>
    <row r="7" spans="1:2">
      <c r="B7" t="s">
        <v>5440</v>
      </c>
    </row>
    <row r="8" spans="1:2">
      <c r="B8" t="s">
        <v>5441</v>
      </c>
    </row>
    <row r="9" spans="1:2">
      <c r="B9" t="s">
        <v>5442</v>
      </c>
    </row>
    <row r="10" spans="1:2">
      <c r="B10" t="s">
        <v>5443</v>
      </c>
    </row>
    <row r="11" spans="1:2">
      <c r="B11" t="s">
        <v>5444</v>
      </c>
    </row>
    <row r="12" spans="1:2">
      <c r="B12" t="s">
        <v>5445</v>
      </c>
    </row>
    <row r="13" spans="1:2">
      <c r="B13" t="s">
        <v>5446</v>
      </c>
    </row>
    <row r="14" spans="1:2">
      <c r="B14" t="s">
        <v>5447</v>
      </c>
    </row>
    <row r="15" spans="1:2">
      <c r="B15" t="s">
        <v>5448</v>
      </c>
    </row>
    <row r="16" spans="1:2">
      <c r="B16" t="s">
        <v>5449</v>
      </c>
    </row>
    <row r="17" spans="1:2">
      <c r="B17" t="s">
        <v>5450</v>
      </c>
    </row>
    <row r="18" spans="1:2">
      <c r="B18" t="s">
        <v>5451</v>
      </c>
    </row>
    <row r="19" spans="1:2">
      <c r="A19" t="s">
        <v>5452</v>
      </c>
      <c r="B19" t="s">
        <v>5453</v>
      </c>
    </row>
    <row r="20" spans="1:2">
      <c r="B20" t="s">
        <v>5454</v>
      </c>
    </row>
    <row r="21" spans="1:2">
      <c r="B21" t="s">
        <v>5455</v>
      </c>
    </row>
    <row r="22" spans="1:2">
      <c r="B22" t="s">
        <v>5456</v>
      </c>
    </row>
    <row r="23" spans="1:2">
      <c r="B23" t="s">
        <v>5457</v>
      </c>
    </row>
    <row r="24" spans="1:2">
      <c r="B24" t="s">
        <v>5458</v>
      </c>
    </row>
    <row r="25" spans="1:2">
      <c r="B25" t="s">
        <v>5459</v>
      </c>
    </row>
    <row r="26" spans="1:2">
      <c r="B26" t="s">
        <v>5460</v>
      </c>
    </row>
    <row r="27" spans="1:2">
      <c r="B27" t="s">
        <v>5461</v>
      </c>
    </row>
    <row r="28" spans="1:2">
      <c r="B28" t="s">
        <v>5443</v>
      </c>
    </row>
    <row r="29" spans="1:2">
      <c r="B29" t="s">
        <v>5451</v>
      </c>
    </row>
    <row r="30" spans="1:2">
      <c r="B30" t="s">
        <v>5445</v>
      </c>
    </row>
    <row r="31" spans="1:2">
      <c r="B31" t="s">
        <v>5462</v>
      </c>
    </row>
    <row r="32" spans="1:2">
      <c r="B32" t="s">
        <v>5463</v>
      </c>
    </row>
    <row r="33" spans="2:2">
      <c r="B33" t="s">
        <v>5464</v>
      </c>
    </row>
  </sheetData>
  <mergeCells count="1">
    <mergeCell ref="A1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U17"/>
  <sheetViews>
    <sheetView workbookViewId="0">
      <selection sqref="A1:U2"/>
    </sheetView>
  </sheetViews>
  <sheetFormatPr defaultColWidth="9.140625" defaultRowHeight="12.95"/>
  <cols>
    <col min="1" max="1" width="7.42578125" style="6" bestFit="1" customWidth="1"/>
    <col min="2" max="2" width="19.7109375" style="5" bestFit="1" customWidth="1"/>
    <col min="3" max="3" width="27.42578125" style="5" bestFit="1" customWidth="1"/>
    <col min="4" max="4" width="21.42578125" style="5" bestFit="1" customWidth="1"/>
    <col min="5" max="5" width="10.42578125" style="5" bestFit="1" customWidth="1"/>
    <col min="6" max="6" width="23.28515625" style="5" customWidth="1"/>
    <col min="7" max="9" width="5.42578125" style="6" bestFit="1" customWidth="1"/>
    <col min="10" max="10" width="4.85546875" style="6" bestFit="1" customWidth="1"/>
    <col min="11" max="13" width="5.42578125" style="6" bestFit="1" customWidth="1"/>
    <col min="14" max="14" width="4.85546875" style="6" bestFit="1" customWidth="1"/>
    <col min="15" max="17" width="5.42578125" style="6" bestFit="1" customWidth="1"/>
    <col min="18" max="18" width="4.85546875" style="6" bestFit="1" customWidth="1"/>
    <col min="19" max="19" width="7.85546875" style="39" bestFit="1" customWidth="1"/>
    <col min="20" max="20" width="8.42578125" style="6" bestFit="1" customWidth="1"/>
    <col min="21" max="21" width="23.85546875" style="5" customWidth="1"/>
    <col min="22" max="16384" width="9.140625" style="3"/>
  </cols>
  <sheetData>
    <row r="1" spans="1:21" s="2" customFormat="1" ht="29.1" customHeight="1">
      <c r="A1" s="103" t="s">
        <v>2036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/>
    </row>
    <row r="2" spans="1:21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9"/>
    </row>
    <row r="3" spans="1:21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5</v>
      </c>
      <c r="F3" s="114" t="s">
        <v>6</v>
      </c>
      <c r="G3" s="114" t="s">
        <v>7</v>
      </c>
      <c r="H3" s="114"/>
      <c r="I3" s="114"/>
      <c r="J3" s="114"/>
      <c r="K3" s="114" t="s">
        <v>8</v>
      </c>
      <c r="L3" s="114"/>
      <c r="M3" s="114"/>
      <c r="N3" s="114"/>
      <c r="O3" s="114" t="s">
        <v>9</v>
      </c>
      <c r="P3" s="114"/>
      <c r="Q3" s="114"/>
      <c r="R3" s="114"/>
      <c r="S3" s="117" t="s">
        <v>10</v>
      </c>
      <c r="T3" s="114" t="s">
        <v>11</v>
      </c>
      <c r="U3" s="99" t="s">
        <v>12</v>
      </c>
    </row>
    <row r="4" spans="1:21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96">
        <v>1</v>
      </c>
      <c r="L4" s="96">
        <v>2</v>
      </c>
      <c r="M4" s="96">
        <v>3</v>
      </c>
      <c r="N4" s="96" t="s">
        <v>13</v>
      </c>
      <c r="O4" s="96">
        <v>1</v>
      </c>
      <c r="P4" s="96">
        <v>2</v>
      </c>
      <c r="Q4" s="96">
        <v>3</v>
      </c>
      <c r="R4" s="96" t="s">
        <v>13</v>
      </c>
      <c r="S4" s="118"/>
      <c r="T4" s="113"/>
      <c r="U4" s="100"/>
    </row>
    <row r="5" spans="1:21" ht="15.95">
      <c r="A5" s="101" t="s">
        <v>334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1:21">
      <c r="A6" s="10" t="s">
        <v>15</v>
      </c>
      <c r="B6" s="7" t="s">
        <v>2037</v>
      </c>
      <c r="C6" s="7" t="s">
        <v>2038</v>
      </c>
      <c r="D6" s="7" t="s">
        <v>1458</v>
      </c>
      <c r="E6" s="7" t="str">
        <f>"0,6709"</f>
        <v>0,6709</v>
      </c>
      <c r="F6" s="7" t="s">
        <v>594</v>
      </c>
      <c r="G6" s="9" t="s">
        <v>398</v>
      </c>
      <c r="H6" s="8" t="s">
        <v>398</v>
      </c>
      <c r="I6" s="8" t="s">
        <v>374</v>
      </c>
      <c r="J6" s="10"/>
      <c r="K6" s="8" t="s">
        <v>33</v>
      </c>
      <c r="L6" s="8" t="s">
        <v>81</v>
      </c>
      <c r="M6" s="9" t="s">
        <v>110</v>
      </c>
      <c r="N6" s="10"/>
      <c r="O6" s="8" t="s">
        <v>151</v>
      </c>
      <c r="P6" s="8" t="s">
        <v>398</v>
      </c>
      <c r="Q6" s="9" t="s">
        <v>374</v>
      </c>
      <c r="R6" s="10"/>
      <c r="S6" s="41" t="str">
        <f>"460,0"</f>
        <v>460,0</v>
      </c>
      <c r="T6" s="10" t="str">
        <f>"513,5337"</f>
        <v>513,5337</v>
      </c>
      <c r="U6" s="7" t="s">
        <v>158</v>
      </c>
    </row>
    <row r="7" spans="1:21">
      <c r="B7" s="5" t="s">
        <v>40</v>
      </c>
    </row>
    <row r="8" spans="1:21" ht="15.95">
      <c r="A8" s="102" t="s">
        <v>598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</row>
    <row r="9" spans="1:21">
      <c r="A9" s="10" t="s">
        <v>92</v>
      </c>
      <c r="B9" s="7" t="s">
        <v>2039</v>
      </c>
      <c r="C9" s="7" t="s">
        <v>2040</v>
      </c>
      <c r="D9" s="7" t="s">
        <v>2041</v>
      </c>
      <c r="E9" s="7" t="str">
        <f>"0,6398"</f>
        <v>0,6398</v>
      </c>
      <c r="F9" s="7" t="s">
        <v>547</v>
      </c>
      <c r="G9" s="9" t="s">
        <v>374</v>
      </c>
      <c r="H9" s="9" t="s">
        <v>384</v>
      </c>
      <c r="I9" s="9" t="s">
        <v>384</v>
      </c>
      <c r="J9" s="10"/>
      <c r="K9" s="10"/>
      <c r="L9" s="10"/>
      <c r="M9" s="10"/>
      <c r="N9" s="10"/>
      <c r="O9" s="10"/>
      <c r="P9" s="10"/>
      <c r="Q9" s="10"/>
      <c r="R9" s="10"/>
      <c r="S9" s="41">
        <v>0</v>
      </c>
      <c r="T9" s="10" t="str">
        <f>"0,0000"</f>
        <v>0,0000</v>
      </c>
      <c r="U9" s="7" t="s">
        <v>2042</v>
      </c>
    </row>
    <row r="10" spans="1:21">
      <c r="B10" s="5" t="s">
        <v>40</v>
      </c>
    </row>
    <row r="11" spans="1:21" ht="15.95">
      <c r="A11" s="102" t="s">
        <v>670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</row>
    <row r="12" spans="1:21">
      <c r="A12" s="10" t="s">
        <v>15</v>
      </c>
      <c r="B12" s="7" t="s">
        <v>2043</v>
      </c>
      <c r="C12" s="7" t="s">
        <v>2044</v>
      </c>
      <c r="D12" s="7" t="s">
        <v>686</v>
      </c>
      <c r="E12" s="7" t="str">
        <f>"0,6113"</f>
        <v>0,6113</v>
      </c>
      <c r="F12" s="7" t="s">
        <v>1279</v>
      </c>
      <c r="G12" s="9" t="s">
        <v>804</v>
      </c>
      <c r="H12" s="9" t="s">
        <v>804</v>
      </c>
      <c r="I12" s="8" t="s">
        <v>804</v>
      </c>
      <c r="J12" s="10"/>
      <c r="K12" s="8" t="s">
        <v>374</v>
      </c>
      <c r="L12" s="9" t="s">
        <v>455</v>
      </c>
      <c r="M12" s="10"/>
      <c r="N12" s="10"/>
      <c r="O12" s="8" t="s">
        <v>490</v>
      </c>
      <c r="P12" s="9" t="s">
        <v>640</v>
      </c>
      <c r="Q12" s="9" t="s">
        <v>803</v>
      </c>
      <c r="R12" s="10"/>
      <c r="S12" s="41" t="str">
        <f>"750,0"</f>
        <v>750,0</v>
      </c>
      <c r="T12" s="10" t="str">
        <f>"458,4750"</f>
        <v>458,4750</v>
      </c>
      <c r="U12" s="7" t="s">
        <v>2045</v>
      </c>
    </row>
    <row r="13" spans="1:21">
      <c r="B13" s="5" t="s">
        <v>40</v>
      </c>
    </row>
    <row r="14" spans="1:21" ht="15.95">
      <c r="A14" s="102" t="s">
        <v>724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</row>
    <row r="15" spans="1:21">
      <c r="A15" s="13" t="s">
        <v>15</v>
      </c>
      <c r="B15" s="11" t="s">
        <v>2046</v>
      </c>
      <c r="C15" s="11" t="s">
        <v>2047</v>
      </c>
      <c r="D15" s="11" t="s">
        <v>2048</v>
      </c>
      <c r="E15" s="11" t="str">
        <f>"0,5924"</f>
        <v>0,5924</v>
      </c>
      <c r="F15" s="11" t="s">
        <v>2049</v>
      </c>
      <c r="G15" s="21" t="s">
        <v>1078</v>
      </c>
      <c r="H15" s="12" t="s">
        <v>839</v>
      </c>
      <c r="I15" s="21" t="s">
        <v>1087</v>
      </c>
      <c r="J15" s="13"/>
      <c r="K15" s="12" t="s">
        <v>459</v>
      </c>
      <c r="L15" s="21" t="s">
        <v>437</v>
      </c>
      <c r="M15" s="21" t="s">
        <v>627</v>
      </c>
      <c r="N15" s="13"/>
      <c r="O15" s="12" t="s">
        <v>805</v>
      </c>
      <c r="P15" s="12" t="s">
        <v>842</v>
      </c>
      <c r="Q15" s="21" t="s">
        <v>2050</v>
      </c>
      <c r="R15" s="13"/>
      <c r="S15" s="37" t="str">
        <f>"900,0"</f>
        <v>900,0</v>
      </c>
      <c r="T15" s="13" t="str">
        <f>"533,1600"</f>
        <v>533,1600</v>
      </c>
      <c r="U15" s="11" t="s">
        <v>2051</v>
      </c>
    </row>
    <row r="16" spans="1:21">
      <c r="A16" s="20" t="s">
        <v>92</v>
      </c>
      <c r="B16" s="18" t="s">
        <v>2052</v>
      </c>
      <c r="C16" s="18" t="s">
        <v>2053</v>
      </c>
      <c r="D16" s="18" t="s">
        <v>2054</v>
      </c>
      <c r="E16" s="18" t="str">
        <f>"0,6076"</f>
        <v>0,6076</v>
      </c>
      <c r="F16" s="18" t="s">
        <v>2055</v>
      </c>
      <c r="G16" s="22" t="s">
        <v>420</v>
      </c>
      <c r="H16" s="22" t="s">
        <v>421</v>
      </c>
      <c r="I16" s="22" t="s">
        <v>421</v>
      </c>
      <c r="J16" s="20"/>
      <c r="K16" s="20"/>
      <c r="L16" s="20"/>
      <c r="M16" s="22"/>
      <c r="N16" s="20"/>
      <c r="O16" s="20"/>
      <c r="P16" s="22"/>
      <c r="Q16" s="20"/>
      <c r="R16" s="20"/>
      <c r="S16" s="38">
        <v>0</v>
      </c>
      <c r="T16" s="20" t="str">
        <f>"0,0000"</f>
        <v>0,0000</v>
      </c>
      <c r="U16" s="18" t="s">
        <v>2056</v>
      </c>
    </row>
    <row r="17" spans="2:2">
      <c r="B17" s="5" t="s">
        <v>40</v>
      </c>
    </row>
  </sheetData>
  <mergeCells count="17">
    <mergeCell ref="A14:T14"/>
    <mergeCell ref="B3:B4"/>
    <mergeCell ref="S3:S4"/>
    <mergeCell ref="T3:T4"/>
    <mergeCell ref="U3:U4"/>
    <mergeCell ref="A5:T5"/>
    <mergeCell ref="A8:T8"/>
    <mergeCell ref="A11:T11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U10"/>
  <sheetViews>
    <sheetView workbookViewId="0">
      <selection sqref="A1:U2"/>
    </sheetView>
  </sheetViews>
  <sheetFormatPr defaultColWidth="9.140625" defaultRowHeight="12.95"/>
  <cols>
    <col min="1" max="1" width="7.42578125" style="6" bestFit="1" customWidth="1"/>
    <col min="2" max="3" width="27.42578125" style="5" bestFit="1" customWidth="1"/>
    <col min="4" max="4" width="21.42578125" style="5" bestFit="1" customWidth="1"/>
    <col min="5" max="5" width="10.42578125" style="5" bestFit="1" customWidth="1"/>
    <col min="6" max="6" width="22.42578125" style="5" customWidth="1"/>
    <col min="7" max="9" width="5.42578125" style="6" bestFit="1" customWidth="1"/>
    <col min="10" max="10" width="4.85546875" style="6" bestFit="1" customWidth="1"/>
    <col min="11" max="13" width="4.42578125" style="6" bestFit="1" customWidth="1"/>
    <col min="14" max="14" width="4.85546875" style="6" bestFit="1" customWidth="1"/>
    <col min="15" max="17" width="5.42578125" style="6" bestFit="1" customWidth="1"/>
    <col min="18" max="18" width="4.85546875" style="6" bestFit="1" customWidth="1"/>
    <col min="19" max="19" width="7.85546875" style="39" bestFit="1" customWidth="1"/>
    <col min="20" max="20" width="8.42578125" style="6" bestFit="1" customWidth="1"/>
    <col min="21" max="21" width="19.7109375" style="5" bestFit="1" customWidth="1"/>
    <col min="22" max="16384" width="9.140625" style="3"/>
  </cols>
  <sheetData>
    <row r="1" spans="1:21" s="2" customFormat="1" ht="29.1" customHeight="1">
      <c r="A1" s="103" t="s">
        <v>2057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/>
    </row>
    <row r="2" spans="1:21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9"/>
    </row>
    <row r="3" spans="1:21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5</v>
      </c>
      <c r="F3" s="114" t="s">
        <v>6</v>
      </c>
      <c r="G3" s="114" t="s">
        <v>7</v>
      </c>
      <c r="H3" s="114"/>
      <c r="I3" s="114"/>
      <c r="J3" s="114"/>
      <c r="K3" s="114" t="s">
        <v>8</v>
      </c>
      <c r="L3" s="114"/>
      <c r="M3" s="114"/>
      <c r="N3" s="114"/>
      <c r="O3" s="114" t="s">
        <v>9</v>
      </c>
      <c r="P3" s="114"/>
      <c r="Q3" s="114"/>
      <c r="R3" s="114"/>
      <c r="S3" s="117" t="s">
        <v>10</v>
      </c>
      <c r="T3" s="114" t="s">
        <v>11</v>
      </c>
      <c r="U3" s="99" t="s">
        <v>12</v>
      </c>
    </row>
    <row r="4" spans="1:21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96">
        <v>1</v>
      </c>
      <c r="L4" s="96">
        <v>2</v>
      </c>
      <c r="M4" s="96">
        <v>3</v>
      </c>
      <c r="N4" s="96" t="s">
        <v>13</v>
      </c>
      <c r="O4" s="96">
        <v>1</v>
      </c>
      <c r="P4" s="96">
        <v>2</v>
      </c>
      <c r="Q4" s="96">
        <v>3</v>
      </c>
      <c r="R4" s="96" t="s">
        <v>13</v>
      </c>
      <c r="S4" s="118"/>
      <c r="T4" s="113"/>
      <c r="U4" s="100"/>
    </row>
    <row r="5" spans="1:21" ht="15.95">
      <c r="A5" s="101" t="s">
        <v>195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1:21">
      <c r="A6" s="10" t="s">
        <v>15</v>
      </c>
      <c r="B6" s="7" t="s">
        <v>2058</v>
      </c>
      <c r="C6" s="7" t="s">
        <v>2059</v>
      </c>
      <c r="D6" s="7" t="s">
        <v>2060</v>
      </c>
      <c r="E6" s="7" t="str">
        <f>"1,1192"</f>
        <v>1,1192</v>
      </c>
      <c r="F6" s="7" t="s">
        <v>1667</v>
      </c>
      <c r="G6" s="9" t="s">
        <v>70</v>
      </c>
      <c r="H6" s="8" t="s">
        <v>70</v>
      </c>
      <c r="I6" s="8" t="s">
        <v>71</v>
      </c>
      <c r="J6" s="10"/>
      <c r="K6" s="8" t="s">
        <v>33</v>
      </c>
      <c r="L6" s="8" t="s">
        <v>81</v>
      </c>
      <c r="M6" s="8" t="s">
        <v>36</v>
      </c>
      <c r="N6" s="10"/>
      <c r="O6" s="8" t="s">
        <v>70</v>
      </c>
      <c r="P6" s="9" t="s">
        <v>71</v>
      </c>
      <c r="Q6" s="8" t="s">
        <v>71</v>
      </c>
      <c r="R6" s="10"/>
      <c r="S6" s="41" t="str">
        <f>"350,0"</f>
        <v>350,0</v>
      </c>
      <c r="T6" s="10" t="str">
        <f>"481,0322"</f>
        <v>481,0322</v>
      </c>
      <c r="U6" s="7" t="s">
        <v>2061</v>
      </c>
    </row>
    <row r="7" spans="1:21">
      <c r="B7" s="5" t="s">
        <v>40</v>
      </c>
    </row>
    <row r="8" spans="1:21" ht="15.95">
      <c r="A8" s="102" t="s">
        <v>670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</row>
    <row r="9" spans="1:21">
      <c r="A9" s="10" t="s">
        <v>92</v>
      </c>
      <c r="B9" s="7" t="s">
        <v>2062</v>
      </c>
      <c r="C9" s="7" t="s">
        <v>2063</v>
      </c>
      <c r="D9" s="7" t="s">
        <v>1521</v>
      </c>
      <c r="E9" s="7" t="str">
        <f>"0,6172"</f>
        <v>0,6172</v>
      </c>
      <c r="F9" s="7" t="s">
        <v>91</v>
      </c>
      <c r="G9" s="9" t="s">
        <v>374</v>
      </c>
      <c r="H9" s="9" t="s">
        <v>374</v>
      </c>
      <c r="I9" s="9" t="s">
        <v>374</v>
      </c>
      <c r="J9" s="10"/>
      <c r="K9" s="10"/>
      <c r="L9" s="10"/>
      <c r="M9" s="10"/>
      <c r="N9" s="10"/>
      <c r="O9" s="10"/>
      <c r="P9" s="10"/>
      <c r="Q9" s="10"/>
      <c r="R9" s="10"/>
      <c r="S9" s="41">
        <v>0</v>
      </c>
      <c r="T9" s="10" t="str">
        <f>"0,0000"</f>
        <v>0,0000</v>
      </c>
      <c r="U9" s="7" t="s">
        <v>2061</v>
      </c>
    </row>
    <row r="10" spans="1:21">
      <c r="B10" s="5" t="s">
        <v>40</v>
      </c>
    </row>
  </sheetData>
  <mergeCells count="15">
    <mergeCell ref="A5:T5"/>
    <mergeCell ref="A8:T8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U10"/>
  <sheetViews>
    <sheetView workbookViewId="0">
      <selection sqref="A1:U2"/>
    </sheetView>
  </sheetViews>
  <sheetFormatPr defaultColWidth="9.140625" defaultRowHeight="12.95"/>
  <cols>
    <col min="1" max="1" width="7.42578125" style="6" bestFit="1" customWidth="1"/>
    <col min="2" max="2" width="19.85546875" style="5" bestFit="1" customWidth="1"/>
    <col min="3" max="3" width="26.28515625" style="5" bestFit="1" customWidth="1"/>
    <col min="4" max="4" width="21.42578125" style="5" bestFit="1" customWidth="1"/>
    <col min="5" max="5" width="10.42578125" style="5" bestFit="1" customWidth="1"/>
    <col min="6" max="6" width="15.42578125" style="5" bestFit="1" customWidth="1"/>
    <col min="7" max="9" width="5.42578125" style="6" bestFit="1" customWidth="1"/>
    <col min="10" max="10" width="4.85546875" style="6" bestFit="1" customWidth="1"/>
    <col min="11" max="13" width="5.42578125" style="6" bestFit="1" customWidth="1"/>
    <col min="14" max="14" width="4.85546875" style="6" bestFit="1" customWidth="1"/>
    <col min="15" max="17" width="5.42578125" style="6" bestFit="1" customWidth="1"/>
    <col min="18" max="18" width="4.85546875" style="6" bestFit="1" customWidth="1"/>
    <col min="19" max="19" width="7.85546875" style="6" bestFit="1" customWidth="1"/>
    <col min="20" max="20" width="8.42578125" style="6" bestFit="1" customWidth="1"/>
    <col min="21" max="21" width="15" style="5" customWidth="1"/>
    <col min="22" max="16384" width="9.140625" style="3"/>
  </cols>
  <sheetData>
    <row r="1" spans="1:21" s="2" customFormat="1" ht="29.1" customHeight="1">
      <c r="A1" s="103" t="s">
        <v>2064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6"/>
    </row>
    <row r="2" spans="1:21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9"/>
    </row>
    <row r="3" spans="1:21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5</v>
      </c>
      <c r="F3" s="114" t="s">
        <v>6</v>
      </c>
      <c r="G3" s="114" t="s">
        <v>7</v>
      </c>
      <c r="H3" s="114"/>
      <c r="I3" s="114"/>
      <c r="J3" s="114"/>
      <c r="K3" s="114" t="s">
        <v>8</v>
      </c>
      <c r="L3" s="114"/>
      <c r="M3" s="114"/>
      <c r="N3" s="114"/>
      <c r="O3" s="114" t="s">
        <v>9</v>
      </c>
      <c r="P3" s="114"/>
      <c r="Q3" s="114"/>
      <c r="R3" s="114"/>
      <c r="S3" s="114" t="s">
        <v>10</v>
      </c>
      <c r="T3" s="114" t="s">
        <v>11</v>
      </c>
      <c r="U3" s="99" t="s">
        <v>12</v>
      </c>
    </row>
    <row r="4" spans="1:21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96">
        <v>1</v>
      </c>
      <c r="L4" s="96">
        <v>2</v>
      </c>
      <c r="M4" s="96">
        <v>3</v>
      </c>
      <c r="N4" s="96" t="s">
        <v>13</v>
      </c>
      <c r="O4" s="96">
        <v>1</v>
      </c>
      <c r="P4" s="96">
        <v>2</v>
      </c>
      <c r="Q4" s="96">
        <v>3</v>
      </c>
      <c r="R4" s="96" t="s">
        <v>13</v>
      </c>
      <c r="S4" s="113"/>
      <c r="T4" s="113"/>
      <c r="U4" s="100"/>
    </row>
    <row r="5" spans="1:21" ht="15.95">
      <c r="A5" s="101" t="s">
        <v>598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</row>
    <row r="6" spans="1:21">
      <c r="A6" s="10" t="s">
        <v>15</v>
      </c>
      <c r="B6" s="7" t="s">
        <v>2065</v>
      </c>
      <c r="C6" s="7" t="s">
        <v>2066</v>
      </c>
      <c r="D6" s="7" t="s">
        <v>2067</v>
      </c>
      <c r="E6" s="7" t="str">
        <f>"0,6483"</f>
        <v>0,6483</v>
      </c>
      <c r="F6" s="7" t="s">
        <v>1314</v>
      </c>
      <c r="G6" s="8" t="s">
        <v>754</v>
      </c>
      <c r="H6" s="8" t="s">
        <v>804</v>
      </c>
      <c r="I6" s="9" t="s">
        <v>824</v>
      </c>
      <c r="J6" s="10"/>
      <c r="K6" s="8" t="s">
        <v>384</v>
      </c>
      <c r="L6" s="9" t="s">
        <v>421</v>
      </c>
      <c r="M6" s="9" t="s">
        <v>459</v>
      </c>
      <c r="N6" s="10"/>
      <c r="O6" s="8" t="s">
        <v>490</v>
      </c>
      <c r="P6" s="9" t="s">
        <v>754</v>
      </c>
      <c r="Q6" s="8" t="s">
        <v>738</v>
      </c>
      <c r="R6" s="10"/>
      <c r="S6" s="10" t="str">
        <f>"790,0"</f>
        <v>790,0</v>
      </c>
      <c r="T6" s="10" t="str">
        <f>"512,1570"</f>
        <v>512,1570</v>
      </c>
      <c r="U6" s="7" t="s">
        <v>2068</v>
      </c>
    </row>
    <row r="7" spans="1:21">
      <c r="B7" s="5" t="s">
        <v>40</v>
      </c>
    </row>
    <row r="8" spans="1:21" ht="15.95">
      <c r="A8" s="102" t="s">
        <v>670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</row>
    <row r="9" spans="1:21">
      <c r="A9" s="10" t="s">
        <v>15</v>
      </c>
      <c r="B9" s="7" t="s">
        <v>2069</v>
      </c>
      <c r="C9" s="7" t="s">
        <v>2070</v>
      </c>
      <c r="D9" s="7" t="s">
        <v>711</v>
      </c>
      <c r="E9" s="7" t="str">
        <f>"0,6091"</f>
        <v>0,6091</v>
      </c>
      <c r="F9" s="7" t="s">
        <v>2071</v>
      </c>
      <c r="G9" s="8" t="s">
        <v>151</v>
      </c>
      <c r="H9" s="9" t="s">
        <v>398</v>
      </c>
      <c r="I9" s="8" t="s">
        <v>392</v>
      </c>
      <c r="J9" s="10"/>
      <c r="K9" s="8" t="s">
        <v>38</v>
      </c>
      <c r="L9" s="8" t="s">
        <v>56</v>
      </c>
      <c r="M9" s="8" t="s">
        <v>145</v>
      </c>
      <c r="N9" s="10"/>
      <c r="O9" s="9" t="s">
        <v>392</v>
      </c>
      <c r="P9" s="8" t="s">
        <v>392</v>
      </c>
      <c r="Q9" s="8" t="s">
        <v>442</v>
      </c>
      <c r="R9" s="10"/>
      <c r="S9" s="10" t="str">
        <f>"540,0"</f>
        <v>540,0</v>
      </c>
      <c r="T9" s="10" t="str">
        <f>"328,9140"</f>
        <v>328,9140</v>
      </c>
      <c r="U9" s="7" t="s">
        <v>2072</v>
      </c>
    </row>
    <row r="10" spans="1:21">
      <c r="B10" s="5" t="s">
        <v>40</v>
      </c>
    </row>
  </sheetData>
  <mergeCells count="15">
    <mergeCell ref="A5:T5"/>
    <mergeCell ref="A8:T8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137"/>
  <sheetViews>
    <sheetView workbookViewId="0">
      <selection sqref="A1:Q2"/>
    </sheetView>
  </sheetViews>
  <sheetFormatPr defaultColWidth="9.140625" defaultRowHeight="12.95"/>
  <cols>
    <col min="1" max="1" width="7.42578125" style="6" bestFit="1" customWidth="1"/>
    <col min="2" max="2" width="22.7109375" style="5" bestFit="1" customWidth="1"/>
    <col min="3" max="3" width="27.85546875" style="5" customWidth="1"/>
    <col min="4" max="4" width="21.42578125" style="5" bestFit="1" customWidth="1"/>
    <col min="5" max="5" width="10.42578125" style="5" bestFit="1" customWidth="1"/>
    <col min="6" max="6" width="18.42578125" style="5" bestFit="1" customWidth="1"/>
    <col min="7" max="9" width="5.42578125" style="6" bestFit="1" customWidth="1"/>
    <col min="10" max="10" width="4.85546875" style="6" bestFit="1" customWidth="1"/>
    <col min="11" max="14" width="5.42578125" style="6" bestFit="1" customWidth="1"/>
    <col min="15" max="15" width="7.85546875" style="39" bestFit="1" customWidth="1"/>
    <col min="16" max="16" width="8.42578125" style="6" bestFit="1" customWidth="1"/>
    <col min="17" max="17" width="32.42578125" style="5" bestFit="1" customWidth="1"/>
    <col min="18" max="16384" width="9.140625" style="3"/>
  </cols>
  <sheetData>
    <row r="1" spans="1:17" s="2" customFormat="1" ht="29.1" customHeight="1">
      <c r="A1" s="103" t="s">
        <v>2073</v>
      </c>
      <c r="B1" s="104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6"/>
    </row>
    <row r="2" spans="1:17" s="2" customFormat="1" ht="62.1" customHeight="1" thickBo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9"/>
    </row>
    <row r="3" spans="1:17" s="1" customFormat="1" ht="12.75" customHeight="1">
      <c r="A3" s="110" t="s">
        <v>1</v>
      </c>
      <c r="B3" s="115" t="s">
        <v>2</v>
      </c>
      <c r="C3" s="112" t="s">
        <v>3</v>
      </c>
      <c r="D3" s="112" t="s">
        <v>4</v>
      </c>
      <c r="E3" s="114" t="s">
        <v>5</v>
      </c>
      <c r="F3" s="114" t="s">
        <v>6</v>
      </c>
      <c r="G3" s="114" t="s">
        <v>8</v>
      </c>
      <c r="H3" s="114"/>
      <c r="I3" s="114"/>
      <c r="J3" s="114"/>
      <c r="K3" s="114" t="s">
        <v>9</v>
      </c>
      <c r="L3" s="114"/>
      <c r="M3" s="114"/>
      <c r="N3" s="114"/>
      <c r="O3" s="117" t="s">
        <v>10</v>
      </c>
      <c r="P3" s="114" t="s">
        <v>11</v>
      </c>
      <c r="Q3" s="99" t="s">
        <v>12</v>
      </c>
    </row>
    <row r="4" spans="1:17" s="1" customFormat="1" ht="21" customHeight="1" thickBot="1">
      <c r="A4" s="111"/>
      <c r="B4" s="116"/>
      <c r="C4" s="113"/>
      <c r="D4" s="113"/>
      <c r="E4" s="113"/>
      <c r="F4" s="113"/>
      <c r="G4" s="96">
        <v>1</v>
      </c>
      <c r="H4" s="96">
        <v>2</v>
      </c>
      <c r="I4" s="96">
        <v>3</v>
      </c>
      <c r="J4" s="96" t="s">
        <v>13</v>
      </c>
      <c r="K4" s="96">
        <v>1</v>
      </c>
      <c r="L4" s="96">
        <v>2</v>
      </c>
      <c r="M4" s="96">
        <v>3</v>
      </c>
      <c r="N4" s="96" t="s">
        <v>13</v>
      </c>
      <c r="O4" s="118"/>
      <c r="P4" s="113"/>
      <c r="Q4" s="100"/>
    </row>
    <row r="5" spans="1:17" ht="15.95">
      <c r="A5" s="101" t="s">
        <v>98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1:17">
      <c r="A6" s="13" t="s">
        <v>15</v>
      </c>
      <c r="B6" s="11" t="s">
        <v>1369</v>
      </c>
      <c r="C6" s="11" t="s">
        <v>1370</v>
      </c>
      <c r="D6" s="11" t="s">
        <v>899</v>
      </c>
      <c r="E6" s="11" t="str">
        <f>"1,2654"</f>
        <v>1,2654</v>
      </c>
      <c r="F6" s="11" t="s">
        <v>594</v>
      </c>
      <c r="G6" s="12" t="s">
        <v>33</v>
      </c>
      <c r="H6" s="12" t="s">
        <v>140</v>
      </c>
      <c r="I6" s="21" t="s">
        <v>80</v>
      </c>
      <c r="J6" s="13"/>
      <c r="K6" s="12" t="s">
        <v>209</v>
      </c>
      <c r="L6" s="21" t="s">
        <v>59</v>
      </c>
      <c r="M6" s="21" t="s">
        <v>59</v>
      </c>
      <c r="N6" s="13"/>
      <c r="O6" s="37" t="str">
        <f>"207,5"</f>
        <v>207,5</v>
      </c>
      <c r="P6" s="13" t="str">
        <f>"262,5705"</f>
        <v>262,5705</v>
      </c>
      <c r="Q6" s="11" t="s">
        <v>1371</v>
      </c>
    </row>
    <row r="7" spans="1:17">
      <c r="A7" s="17" t="s">
        <v>62</v>
      </c>
      <c r="B7" s="14" t="s">
        <v>2074</v>
      </c>
      <c r="C7" s="14" t="s">
        <v>2075</v>
      </c>
      <c r="D7" s="14" t="s">
        <v>133</v>
      </c>
      <c r="E7" s="14" t="str">
        <f>"1,2635"</f>
        <v>1,2635</v>
      </c>
      <c r="F7" s="14" t="s">
        <v>695</v>
      </c>
      <c r="G7" s="15" t="s">
        <v>103</v>
      </c>
      <c r="H7" s="15" t="s">
        <v>25</v>
      </c>
      <c r="I7" s="15" t="s">
        <v>35</v>
      </c>
      <c r="J7" s="17"/>
      <c r="K7" s="16" t="s">
        <v>71</v>
      </c>
      <c r="L7" s="15" t="s">
        <v>209</v>
      </c>
      <c r="M7" s="15" t="s">
        <v>58</v>
      </c>
      <c r="N7" s="17"/>
      <c r="O7" s="40" t="str">
        <f>"197,5"</f>
        <v>197,5</v>
      </c>
      <c r="P7" s="17" t="str">
        <f>"249,5412"</f>
        <v>249,5412</v>
      </c>
      <c r="Q7" s="14" t="s">
        <v>2076</v>
      </c>
    </row>
    <row r="8" spans="1:17">
      <c r="A8" s="20" t="s">
        <v>73</v>
      </c>
      <c r="B8" s="18" t="s">
        <v>112</v>
      </c>
      <c r="C8" s="18" t="s">
        <v>113</v>
      </c>
      <c r="D8" s="18" t="s">
        <v>114</v>
      </c>
      <c r="E8" s="18" t="str">
        <f>"1,2541"</f>
        <v>1,2541</v>
      </c>
      <c r="F8" s="18" t="s">
        <v>115</v>
      </c>
      <c r="G8" s="19" t="s">
        <v>83</v>
      </c>
      <c r="H8" s="19" t="s">
        <v>34</v>
      </c>
      <c r="I8" s="22" t="s">
        <v>25</v>
      </c>
      <c r="J8" s="20"/>
      <c r="K8" s="19" t="s">
        <v>69</v>
      </c>
      <c r="L8" s="19" t="s">
        <v>70</v>
      </c>
      <c r="M8" s="19" t="s">
        <v>85</v>
      </c>
      <c r="N8" s="20"/>
      <c r="O8" s="38" t="str">
        <f>"180,0"</f>
        <v>180,0</v>
      </c>
      <c r="P8" s="20" t="str">
        <f>"225,7380"</f>
        <v>225,7380</v>
      </c>
      <c r="Q8" s="18" t="s">
        <v>116</v>
      </c>
    </row>
    <row r="9" spans="1:17">
      <c r="B9" s="5" t="s">
        <v>40</v>
      </c>
    </row>
    <row r="10" spans="1:17" ht="15.95">
      <c r="A10" s="102" t="s">
        <v>141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</row>
    <row r="11" spans="1:17">
      <c r="A11" s="13" t="s">
        <v>15</v>
      </c>
      <c r="B11" s="11" t="s">
        <v>163</v>
      </c>
      <c r="C11" s="11" t="s">
        <v>164</v>
      </c>
      <c r="D11" s="11" t="s">
        <v>165</v>
      </c>
      <c r="E11" s="11" t="str">
        <f>"1,1816"</f>
        <v>1,1816</v>
      </c>
      <c r="F11" s="11" t="s">
        <v>166</v>
      </c>
      <c r="G11" s="12" t="s">
        <v>34</v>
      </c>
      <c r="H11" s="12" t="s">
        <v>35</v>
      </c>
      <c r="I11" s="12" t="s">
        <v>26</v>
      </c>
      <c r="J11" s="13"/>
      <c r="K11" s="12" t="s">
        <v>47</v>
      </c>
      <c r="L11" s="12" t="s">
        <v>55</v>
      </c>
      <c r="M11" s="12" t="s">
        <v>84</v>
      </c>
      <c r="N11" s="13"/>
      <c r="O11" s="37" t="str">
        <f>"177,5"</f>
        <v>177,5</v>
      </c>
      <c r="P11" s="13" t="str">
        <f>"209,7340"</f>
        <v>209,7340</v>
      </c>
      <c r="Q11" s="11" t="s">
        <v>167</v>
      </c>
    </row>
    <row r="12" spans="1:17">
      <c r="A12" s="20" t="s">
        <v>15</v>
      </c>
      <c r="B12" s="18" t="s">
        <v>2077</v>
      </c>
      <c r="C12" s="18" t="s">
        <v>2078</v>
      </c>
      <c r="D12" s="18" t="s">
        <v>175</v>
      </c>
      <c r="E12" s="18" t="str">
        <f>"1,1883"</f>
        <v>1,1883</v>
      </c>
      <c r="F12" s="18" t="s">
        <v>2079</v>
      </c>
      <c r="G12" s="19" t="s">
        <v>103</v>
      </c>
      <c r="H12" s="19" t="s">
        <v>25</v>
      </c>
      <c r="I12" s="22" t="s">
        <v>35</v>
      </c>
      <c r="J12" s="20"/>
      <c r="K12" s="19" t="s">
        <v>69</v>
      </c>
      <c r="L12" s="19" t="s">
        <v>70</v>
      </c>
      <c r="M12" s="19" t="s">
        <v>1616</v>
      </c>
      <c r="N12" s="20"/>
      <c r="O12" s="38" t="str">
        <f>"183,0"</f>
        <v>183,0</v>
      </c>
      <c r="P12" s="20" t="str">
        <f>"227,0271"</f>
        <v>227,0271</v>
      </c>
      <c r="Q12" s="18" t="s">
        <v>158</v>
      </c>
    </row>
    <row r="13" spans="1:17">
      <c r="B13" s="5" t="s">
        <v>40</v>
      </c>
    </row>
    <row r="14" spans="1:17" ht="15.95">
      <c r="A14" s="102" t="s">
        <v>195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</row>
    <row r="15" spans="1:17">
      <c r="A15" s="13" t="s">
        <v>15</v>
      </c>
      <c r="B15" s="11" t="s">
        <v>196</v>
      </c>
      <c r="C15" s="11" t="s">
        <v>197</v>
      </c>
      <c r="D15" s="11" t="s">
        <v>198</v>
      </c>
      <c r="E15" s="11" t="str">
        <f>"1,1236"</f>
        <v>1,1236</v>
      </c>
      <c r="F15" s="11" t="s">
        <v>91</v>
      </c>
      <c r="G15" s="12" t="s">
        <v>20</v>
      </c>
      <c r="H15" s="21" t="s">
        <v>21</v>
      </c>
      <c r="I15" s="21" t="s">
        <v>21</v>
      </c>
      <c r="J15" s="13"/>
      <c r="K15" s="12" t="s">
        <v>67</v>
      </c>
      <c r="L15" s="21" t="s">
        <v>36</v>
      </c>
      <c r="M15" s="21" t="s">
        <v>36</v>
      </c>
      <c r="N15" s="13"/>
      <c r="O15" s="37" t="str">
        <f>"120,0"</f>
        <v>120,0</v>
      </c>
      <c r="P15" s="13" t="str">
        <f>"134,8320"</f>
        <v>134,8320</v>
      </c>
      <c r="Q15" s="11" t="s">
        <v>199</v>
      </c>
    </row>
    <row r="16" spans="1:17">
      <c r="A16" s="17" t="s">
        <v>15</v>
      </c>
      <c r="B16" s="14" t="s">
        <v>1393</v>
      </c>
      <c r="C16" s="14" t="s">
        <v>1394</v>
      </c>
      <c r="D16" s="14" t="s">
        <v>1395</v>
      </c>
      <c r="E16" s="14" t="str">
        <f>"1,1509"</f>
        <v>1,1509</v>
      </c>
      <c r="F16" s="14" t="s">
        <v>594</v>
      </c>
      <c r="G16" s="15" t="s">
        <v>22</v>
      </c>
      <c r="H16" s="15" t="s">
        <v>83</v>
      </c>
      <c r="I16" s="16" t="s">
        <v>34</v>
      </c>
      <c r="J16" s="17"/>
      <c r="K16" s="15" t="s">
        <v>145</v>
      </c>
      <c r="L16" s="16" t="s">
        <v>209</v>
      </c>
      <c r="M16" s="16" t="s">
        <v>209</v>
      </c>
      <c r="N16" s="17"/>
      <c r="O16" s="40" t="str">
        <f>"172,5"</f>
        <v>172,5</v>
      </c>
      <c r="P16" s="17" t="str">
        <f>"198,5303"</f>
        <v>198,5303</v>
      </c>
      <c r="Q16" s="14" t="s">
        <v>1396</v>
      </c>
    </row>
    <row r="17" spans="1:17">
      <c r="A17" s="20" t="s">
        <v>15</v>
      </c>
      <c r="B17" s="18" t="s">
        <v>233</v>
      </c>
      <c r="C17" s="18" t="s">
        <v>234</v>
      </c>
      <c r="D17" s="18" t="s">
        <v>235</v>
      </c>
      <c r="E17" s="18" t="str">
        <f>"1,1251"</f>
        <v>1,1251</v>
      </c>
      <c r="F17" s="18" t="s">
        <v>91</v>
      </c>
      <c r="G17" s="19" t="s">
        <v>25</v>
      </c>
      <c r="H17" s="22" t="s">
        <v>26</v>
      </c>
      <c r="I17" s="19" t="s">
        <v>26</v>
      </c>
      <c r="J17" s="20"/>
      <c r="K17" s="19" t="s">
        <v>205</v>
      </c>
      <c r="L17" s="19" t="s">
        <v>151</v>
      </c>
      <c r="M17" s="22" t="s">
        <v>248</v>
      </c>
      <c r="N17" s="20"/>
      <c r="O17" s="38" t="str">
        <f>"220,0"</f>
        <v>220,0</v>
      </c>
      <c r="P17" s="20" t="str">
        <f>"247,5220"</f>
        <v>247,5220</v>
      </c>
      <c r="Q17" s="18" t="s">
        <v>236</v>
      </c>
    </row>
    <row r="18" spans="1:17">
      <c r="B18" s="5" t="s">
        <v>40</v>
      </c>
    </row>
    <row r="19" spans="1:17" ht="15.95">
      <c r="A19" s="102" t="s">
        <v>241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</row>
    <row r="20" spans="1:17">
      <c r="A20" s="13" t="s">
        <v>15</v>
      </c>
      <c r="B20" s="11" t="s">
        <v>291</v>
      </c>
      <c r="C20" s="11" t="s">
        <v>292</v>
      </c>
      <c r="D20" s="11" t="s">
        <v>293</v>
      </c>
      <c r="E20" s="11" t="str">
        <f>"1,0239"</f>
        <v>1,0239</v>
      </c>
      <c r="F20" s="11" t="s">
        <v>294</v>
      </c>
      <c r="G20" s="21" t="s">
        <v>48</v>
      </c>
      <c r="H20" s="12" t="s">
        <v>48</v>
      </c>
      <c r="I20" s="21" t="s">
        <v>32</v>
      </c>
      <c r="J20" s="13"/>
      <c r="K20" s="21" t="s">
        <v>70</v>
      </c>
      <c r="L20" s="12" t="s">
        <v>70</v>
      </c>
      <c r="M20" s="12" t="s">
        <v>145</v>
      </c>
      <c r="N20" s="13"/>
      <c r="O20" s="37" t="str">
        <f>"187,5"</f>
        <v>187,5</v>
      </c>
      <c r="P20" s="13" t="str">
        <f>"191,9813"</f>
        <v>191,9813</v>
      </c>
      <c r="Q20" s="11" t="s">
        <v>158</v>
      </c>
    </row>
    <row r="21" spans="1:17">
      <c r="A21" s="20" t="s">
        <v>92</v>
      </c>
      <c r="B21" s="18" t="s">
        <v>287</v>
      </c>
      <c r="C21" s="18" t="s">
        <v>288</v>
      </c>
      <c r="D21" s="18" t="s">
        <v>289</v>
      </c>
      <c r="E21" s="18" t="str">
        <f>"1,0328"</f>
        <v>1,0328</v>
      </c>
      <c r="F21" s="18" t="s">
        <v>290</v>
      </c>
      <c r="G21" s="22" t="s">
        <v>26</v>
      </c>
      <c r="H21" s="22" t="s">
        <v>26</v>
      </c>
      <c r="I21" s="22" t="s">
        <v>32</v>
      </c>
      <c r="J21" s="20"/>
      <c r="K21" s="20"/>
      <c r="L21" s="20"/>
      <c r="M21" s="20"/>
      <c r="N21" s="20"/>
      <c r="O21" s="38">
        <v>0</v>
      </c>
      <c r="P21" s="20" t="str">
        <f>"0,0000"</f>
        <v>0,0000</v>
      </c>
      <c r="Q21" s="18" t="s">
        <v>158</v>
      </c>
    </row>
    <row r="22" spans="1:17">
      <c r="B22" s="5" t="s">
        <v>40</v>
      </c>
    </row>
    <row r="23" spans="1:17" ht="15.95">
      <c r="A23" s="102" t="s">
        <v>301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</row>
    <row r="24" spans="1:17">
      <c r="A24" s="13" t="s">
        <v>15</v>
      </c>
      <c r="B24" s="11" t="s">
        <v>1404</v>
      </c>
      <c r="C24" s="11" t="s">
        <v>1405</v>
      </c>
      <c r="D24" s="11" t="s">
        <v>419</v>
      </c>
      <c r="E24" s="11" t="str">
        <f>"0,9555"</f>
        <v>0,9555</v>
      </c>
      <c r="F24" s="11" t="s">
        <v>594</v>
      </c>
      <c r="G24" s="21" t="s">
        <v>82</v>
      </c>
      <c r="H24" s="21" t="s">
        <v>82</v>
      </c>
      <c r="I24" s="12" t="s">
        <v>82</v>
      </c>
      <c r="J24" s="13"/>
      <c r="K24" s="12" t="s">
        <v>38</v>
      </c>
      <c r="L24" s="12" t="s">
        <v>69</v>
      </c>
      <c r="M24" s="21" t="s">
        <v>56</v>
      </c>
      <c r="N24" s="13"/>
      <c r="O24" s="37" t="str">
        <f>"155,0"</f>
        <v>155,0</v>
      </c>
      <c r="P24" s="13" t="str">
        <f>"148,1025"</f>
        <v>148,1025</v>
      </c>
      <c r="Q24" s="11" t="s">
        <v>1406</v>
      </c>
    </row>
    <row r="25" spans="1:17">
      <c r="A25" s="20" t="s">
        <v>15</v>
      </c>
      <c r="B25" s="18" t="s">
        <v>2080</v>
      </c>
      <c r="C25" s="18" t="s">
        <v>2081</v>
      </c>
      <c r="D25" s="18" t="s">
        <v>425</v>
      </c>
      <c r="E25" s="18" t="str">
        <f>"0,9910"</f>
        <v>0,9910</v>
      </c>
      <c r="F25" s="18" t="s">
        <v>2082</v>
      </c>
      <c r="G25" s="19" t="s">
        <v>34</v>
      </c>
      <c r="H25" s="19" t="s">
        <v>35</v>
      </c>
      <c r="I25" s="22" t="s">
        <v>26</v>
      </c>
      <c r="J25" s="20"/>
      <c r="K25" s="19" t="s">
        <v>56</v>
      </c>
      <c r="L25" s="19" t="s">
        <v>145</v>
      </c>
      <c r="M25" s="19" t="s">
        <v>209</v>
      </c>
      <c r="N25" s="20"/>
      <c r="O25" s="38" t="str">
        <f>"192,5"</f>
        <v>192,5</v>
      </c>
      <c r="P25" s="20" t="str">
        <f>"226,4410"</f>
        <v>226,4410</v>
      </c>
      <c r="Q25" s="18" t="s">
        <v>2083</v>
      </c>
    </row>
    <row r="26" spans="1:17">
      <c r="B26" s="5" t="s">
        <v>40</v>
      </c>
    </row>
    <row r="27" spans="1:17" ht="15.95">
      <c r="A27" s="102" t="s">
        <v>195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</row>
    <row r="28" spans="1:17">
      <c r="A28" s="10" t="s">
        <v>15</v>
      </c>
      <c r="B28" s="7" t="s">
        <v>2084</v>
      </c>
      <c r="C28" s="7" t="s">
        <v>2085</v>
      </c>
      <c r="D28" s="7" t="s">
        <v>226</v>
      </c>
      <c r="E28" s="7" t="str">
        <f>"0,8964"</f>
        <v>0,8964</v>
      </c>
      <c r="F28" s="7" t="s">
        <v>1155</v>
      </c>
      <c r="G28" s="8" t="s">
        <v>80</v>
      </c>
      <c r="H28" s="8" t="s">
        <v>67</v>
      </c>
      <c r="I28" s="8" t="s">
        <v>36</v>
      </c>
      <c r="J28" s="10"/>
      <c r="K28" s="8" t="s">
        <v>59</v>
      </c>
      <c r="L28" s="8" t="s">
        <v>205</v>
      </c>
      <c r="M28" s="9" t="s">
        <v>2086</v>
      </c>
      <c r="N28" s="10"/>
      <c r="O28" s="41" t="str">
        <f>"245,0"</f>
        <v>245,0</v>
      </c>
      <c r="P28" s="10" t="str">
        <f>"219,6180"</f>
        <v>219,6180</v>
      </c>
      <c r="Q28" s="7" t="s">
        <v>2087</v>
      </c>
    </row>
    <row r="29" spans="1:17">
      <c r="B29" s="5" t="s">
        <v>40</v>
      </c>
    </row>
    <row r="30" spans="1:17" ht="15.95">
      <c r="A30" s="102" t="s">
        <v>241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</row>
    <row r="31" spans="1:17">
      <c r="A31" s="13" t="s">
        <v>15</v>
      </c>
      <c r="B31" s="11" t="s">
        <v>361</v>
      </c>
      <c r="C31" s="11" t="s">
        <v>362</v>
      </c>
      <c r="D31" s="11" t="s">
        <v>363</v>
      </c>
      <c r="E31" s="11" t="str">
        <f>"0,7973"</f>
        <v>0,7973</v>
      </c>
      <c r="F31" s="11" t="s">
        <v>364</v>
      </c>
      <c r="G31" s="12" t="s">
        <v>80</v>
      </c>
      <c r="H31" s="21" t="s">
        <v>67</v>
      </c>
      <c r="I31" s="13"/>
      <c r="J31" s="13"/>
      <c r="K31" s="12" t="s">
        <v>152</v>
      </c>
      <c r="L31" s="12" t="s">
        <v>351</v>
      </c>
      <c r="M31" s="21" t="s">
        <v>398</v>
      </c>
      <c r="N31" s="13"/>
      <c r="O31" s="37" t="str">
        <f>"250,0"</f>
        <v>250,0</v>
      </c>
      <c r="P31" s="13" t="str">
        <f>"199,3250"</f>
        <v>199,3250</v>
      </c>
      <c r="Q31" s="11" t="s">
        <v>158</v>
      </c>
    </row>
    <row r="32" spans="1:17">
      <c r="A32" s="17" t="s">
        <v>62</v>
      </c>
      <c r="B32" s="14" t="s">
        <v>2088</v>
      </c>
      <c r="C32" s="14" t="s">
        <v>2089</v>
      </c>
      <c r="D32" s="14" t="s">
        <v>975</v>
      </c>
      <c r="E32" s="14" t="str">
        <f>"0,7729"</f>
        <v>0,7729</v>
      </c>
      <c r="F32" s="14" t="s">
        <v>2090</v>
      </c>
      <c r="G32" s="15" t="s">
        <v>81</v>
      </c>
      <c r="H32" s="15" t="s">
        <v>67</v>
      </c>
      <c r="I32" s="16" t="s">
        <v>68</v>
      </c>
      <c r="J32" s="17"/>
      <c r="K32" s="15" t="s">
        <v>60</v>
      </c>
      <c r="L32" s="15" t="s">
        <v>151</v>
      </c>
      <c r="M32" s="16" t="s">
        <v>347</v>
      </c>
      <c r="N32" s="17"/>
      <c r="O32" s="40" t="str">
        <f>"245,0"</f>
        <v>245,0</v>
      </c>
      <c r="P32" s="17" t="str">
        <f>"189,3605"</f>
        <v>189,3605</v>
      </c>
      <c r="Q32" s="14" t="s">
        <v>2091</v>
      </c>
    </row>
    <row r="33" spans="1:17">
      <c r="A33" s="17" t="s">
        <v>15</v>
      </c>
      <c r="B33" s="14" t="s">
        <v>369</v>
      </c>
      <c r="C33" s="14" t="s">
        <v>370</v>
      </c>
      <c r="D33" s="14" t="s">
        <v>244</v>
      </c>
      <c r="E33" s="14" t="str">
        <f>"0,7983"</f>
        <v>0,7983</v>
      </c>
      <c r="F33" s="14" t="s">
        <v>166</v>
      </c>
      <c r="G33" s="15" t="s">
        <v>38</v>
      </c>
      <c r="H33" s="15" t="s">
        <v>49</v>
      </c>
      <c r="I33" s="15" t="s">
        <v>47</v>
      </c>
      <c r="J33" s="17"/>
      <c r="K33" s="15" t="s">
        <v>60</v>
      </c>
      <c r="L33" s="15" t="s">
        <v>151</v>
      </c>
      <c r="M33" s="15" t="s">
        <v>347</v>
      </c>
      <c r="N33" s="17"/>
      <c r="O33" s="40" t="str">
        <f>"275,0"</f>
        <v>275,0</v>
      </c>
      <c r="P33" s="17" t="str">
        <f>"219,5325"</f>
        <v>219,5325</v>
      </c>
      <c r="Q33" s="14" t="s">
        <v>167</v>
      </c>
    </row>
    <row r="34" spans="1:17">
      <c r="A34" s="20" t="s">
        <v>15</v>
      </c>
      <c r="B34" s="18" t="s">
        <v>375</v>
      </c>
      <c r="C34" s="18" t="s">
        <v>376</v>
      </c>
      <c r="D34" s="18" t="s">
        <v>377</v>
      </c>
      <c r="E34" s="18" t="str">
        <f>"0,7823"</f>
        <v>0,7823</v>
      </c>
      <c r="F34" s="18" t="s">
        <v>378</v>
      </c>
      <c r="G34" s="19" t="s">
        <v>70</v>
      </c>
      <c r="H34" s="19" t="s">
        <v>145</v>
      </c>
      <c r="I34" s="22" t="s">
        <v>71</v>
      </c>
      <c r="J34" s="20"/>
      <c r="K34" s="19" t="s">
        <v>248</v>
      </c>
      <c r="L34" s="22" t="s">
        <v>368</v>
      </c>
      <c r="M34" s="19" t="s">
        <v>368</v>
      </c>
      <c r="N34" s="20"/>
      <c r="O34" s="38" t="str">
        <f>"310,0"</f>
        <v>310,0</v>
      </c>
      <c r="P34" s="20" t="str">
        <f>"242,5130"</f>
        <v>242,5130</v>
      </c>
      <c r="Q34" s="18" t="s">
        <v>379</v>
      </c>
    </row>
    <row r="35" spans="1:17">
      <c r="B35" s="5" t="s">
        <v>40</v>
      </c>
    </row>
    <row r="36" spans="1:17" ht="15.95">
      <c r="A36" s="102" t="s">
        <v>301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7">
      <c r="A37" s="13" t="s">
        <v>15</v>
      </c>
      <c r="B37" s="11" t="s">
        <v>400</v>
      </c>
      <c r="C37" s="11" t="s">
        <v>401</v>
      </c>
      <c r="D37" s="11" t="s">
        <v>402</v>
      </c>
      <c r="E37" s="11" t="str">
        <f>"0,7285"</f>
        <v>0,7285</v>
      </c>
      <c r="F37" s="11" t="s">
        <v>403</v>
      </c>
      <c r="G37" s="12" t="s">
        <v>38</v>
      </c>
      <c r="H37" s="12" t="s">
        <v>47</v>
      </c>
      <c r="I37" s="21" t="s">
        <v>69</v>
      </c>
      <c r="J37" s="13"/>
      <c r="K37" s="12" t="s">
        <v>248</v>
      </c>
      <c r="L37" s="12" t="s">
        <v>392</v>
      </c>
      <c r="M37" s="12" t="s">
        <v>374</v>
      </c>
      <c r="N37" s="13"/>
      <c r="O37" s="37" t="str">
        <f>"307,5"</f>
        <v>307,5</v>
      </c>
      <c r="P37" s="13" t="str">
        <f>"224,0138"</f>
        <v>224,0138</v>
      </c>
      <c r="Q37" s="11" t="s">
        <v>158</v>
      </c>
    </row>
    <row r="38" spans="1:17">
      <c r="A38" s="17" t="s">
        <v>62</v>
      </c>
      <c r="B38" s="14" t="s">
        <v>404</v>
      </c>
      <c r="C38" s="14" t="s">
        <v>405</v>
      </c>
      <c r="D38" s="14" t="s">
        <v>406</v>
      </c>
      <c r="E38" s="14" t="str">
        <f>"0,7383"</f>
        <v>0,7383</v>
      </c>
      <c r="F38" s="14" t="s">
        <v>2092</v>
      </c>
      <c r="G38" s="15" t="s">
        <v>69</v>
      </c>
      <c r="H38" s="15" t="s">
        <v>84</v>
      </c>
      <c r="I38" s="15" t="s">
        <v>70</v>
      </c>
      <c r="J38" s="17"/>
      <c r="K38" s="15" t="s">
        <v>151</v>
      </c>
      <c r="L38" s="15" t="s">
        <v>248</v>
      </c>
      <c r="M38" s="16" t="s">
        <v>398</v>
      </c>
      <c r="N38" s="17"/>
      <c r="O38" s="40" t="str">
        <f>"290,0"</f>
        <v>290,0</v>
      </c>
      <c r="P38" s="17" t="str">
        <f>"214,1070"</f>
        <v>214,1070</v>
      </c>
      <c r="Q38" s="14" t="s">
        <v>408</v>
      </c>
    </row>
    <row r="39" spans="1:17">
      <c r="A39" s="17" t="s">
        <v>15</v>
      </c>
      <c r="B39" s="14" t="s">
        <v>2093</v>
      </c>
      <c r="C39" s="14" t="s">
        <v>2094</v>
      </c>
      <c r="D39" s="14" t="s">
        <v>2095</v>
      </c>
      <c r="E39" s="14" t="str">
        <f>"0,7271"</f>
        <v>0,7271</v>
      </c>
      <c r="F39" s="14" t="s">
        <v>2096</v>
      </c>
      <c r="G39" s="15" t="s">
        <v>38</v>
      </c>
      <c r="H39" s="15" t="s">
        <v>47</v>
      </c>
      <c r="I39" s="15" t="s">
        <v>56</v>
      </c>
      <c r="J39" s="17"/>
      <c r="K39" s="15" t="s">
        <v>384</v>
      </c>
      <c r="L39" s="15" t="s">
        <v>420</v>
      </c>
      <c r="M39" s="15" t="s">
        <v>508</v>
      </c>
      <c r="N39" s="17"/>
      <c r="O39" s="40" t="str">
        <f>"347,5"</f>
        <v>347,5</v>
      </c>
      <c r="P39" s="17" t="str">
        <f>"252,6673"</f>
        <v>252,6673</v>
      </c>
      <c r="Q39" s="14" t="s">
        <v>2097</v>
      </c>
    </row>
    <row r="40" spans="1:17">
      <c r="A40" s="17" t="s">
        <v>15</v>
      </c>
      <c r="B40" s="14" t="s">
        <v>1431</v>
      </c>
      <c r="C40" s="14" t="s">
        <v>1432</v>
      </c>
      <c r="D40" s="14" t="s">
        <v>1022</v>
      </c>
      <c r="E40" s="14" t="str">
        <f>"0,7221"</f>
        <v>0,7221</v>
      </c>
      <c r="F40" s="14" t="s">
        <v>2098</v>
      </c>
      <c r="G40" s="15" t="s">
        <v>56</v>
      </c>
      <c r="H40" s="16" t="s">
        <v>162</v>
      </c>
      <c r="I40" s="15" t="s">
        <v>145</v>
      </c>
      <c r="J40" s="17"/>
      <c r="K40" s="15" t="s">
        <v>422</v>
      </c>
      <c r="L40" s="15" t="s">
        <v>490</v>
      </c>
      <c r="M40" s="16" t="s">
        <v>529</v>
      </c>
      <c r="N40" s="17"/>
      <c r="O40" s="40" t="str">
        <f>"375,0"</f>
        <v>375,0</v>
      </c>
      <c r="P40" s="17" t="str">
        <f>"270,7875"</f>
        <v>270,7875</v>
      </c>
      <c r="Q40" s="14" t="s">
        <v>158</v>
      </c>
    </row>
    <row r="41" spans="1:17">
      <c r="A41" s="17" t="s">
        <v>62</v>
      </c>
      <c r="B41" s="14" t="s">
        <v>2099</v>
      </c>
      <c r="C41" s="14" t="s">
        <v>2100</v>
      </c>
      <c r="D41" s="14" t="s">
        <v>323</v>
      </c>
      <c r="E41" s="14" t="str">
        <f>"0,7159"</f>
        <v>0,7159</v>
      </c>
      <c r="F41" s="14" t="s">
        <v>2101</v>
      </c>
      <c r="G41" s="15" t="s">
        <v>69</v>
      </c>
      <c r="H41" s="15" t="s">
        <v>145</v>
      </c>
      <c r="I41" s="16" t="s">
        <v>209</v>
      </c>
      <c r="J41" s="17"/>
      <c r="K41" s="15" t="s">
        <v>374</v>
      </c>
      <c r="L41" s="16" t="s">
        <v>442</v>
      </c>
      <c r="M41" s="15" t="s">
        <v>442</v>
      </c>
      <c r="N41" s="17"/>
      <c r="O41" s="40" t="str">
        <f>"350,0"</f>
        <v>350,0</v>
      </c>
      <c r="P41" s="17" t="str">
        <f>"250,5650"</f>
        <v>250,5650</v>
      </c>
      <c r="Q41" s="14" t="s">
        <v>2102</v>
      </c>
    </row>
    <row r="42" spans="1:17">
      <c r="A42" s="17" t="s">
        <v>73</v>
      </c>
      <c r="B42" s="14" t="s">
        <v>2103</v>
      </c>
      <c r="C42" s="14" t="s">
        <v>2104</v>
      </c>
      <c r="D42" s="14" t="s">
        <v>331</v>
      </c>
      <c r="E42" s="14" t="str">
        <f>"0,7126"</f>
        <v>0,7126</v>
      </c>
      <c r="F42" s="14" t="s">
        <v>2105</v>
      </c>
      <c r="G42" s="15" t="s">
        <v>70</v>
      </c>
      <c r="H42" s="15" t="s">
        <v>145</v>
      </c>
      <c r="I42" s="16" t="s">
        <v>85</v>
      </c>
      <c r="J42" s="17"/>
      <c r="K42" s="16" t="s">
        <v>374</v>
      </c>
      <c r="L42" s="15" t="s">
        <v>455</v>
      </c>
      <c r="M42" s="16" t="s">
        <v>495</v>
      </c>
      <c r="N42" s="17"/>
      <c r="O42" s="40" t="str">
        <f>"332,5"</f>
        <v>332,5</v>
      </c>
      <c r="P42" s="17" t="str">
        <f>"236,9395"</f>
        <v>236,9395</v>
      </c>
      <c r="Q42" s="14" t="s">
        <v>158</v>
      </c>
    </row>
    <row r="43" spans="1:17">
      <c r="A43" s="20" t="s">
        <v>75</v>
      </c>
      <c r="B43" s="18" t="s">
        <v>2106</v>
      </c>
      <c r="C43" s="18" t="s">
        <v>2107</v>
      </c>
      <c r="D43" s="18" t="s">
        <v>1003</v>
      </c>
      <c r="E43" s="18" t="str">
        <f>"0,7146"</f>
        <v>0,7146</v>
      </c>
      <c r="F43" s="18" t="s">
        <v>2108</v>
      </c>
      <c r="G43" s="19" t="s">
        <v>37</v>
      </c>
      <c r="H43" s="22" t="s">
        <v>46</v>
      </c>
      <c r="I43" s="22" t="s">
        <v>46</v>
      </c>
      <c r="J43" s="20"/>
      <c r="K43" s="19" t="s">
        <v>420</v>
      </c>
      <c r="L43" s="19" t="s">
        <v>421</v>
      </c>
      <c r="M43" s="22" t="s">
        <v>682</v>
      </c>
      <c r="N43" s="20"/>
      <c r="O43" s="38" t="str">
        <f>"325,0"</f>
        <v>325,0</v>
      </c>
      <c r="P43" s="20" t="str">
        <f>"232,2450"</f>
        <v>232,2450</v>
      </c>
      <c r="Q43" s="18" t="s">
        <v>158</v>
      </c>
    </row>
    <row r="44" spans="1:17">
      <c r="B44" s="5" t="s">
        <v>40</v>
      </c>
    </row>
    <row r="45" spans="1:17" ht="15.95">
      <c r="A45" s="102" t="s">
        <v>334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</row>
    <row r="46" spans="1:17">
      <c r="A46" s="13" t="s">
        <v>15</v>
      </c>
      <c r="B46" s="11" t="s">
        <v>479</v>
      </c>
      <c r="C46" s="11" t="s">
        <v>480</v>
      </c>
      <c r="D46" s="11" t="s">
        <v>481</v>
      </c>
      <c r="E46" s="11" t="str">
        <f>"0,6827"</f>
        <v>0,6827</v>
      </c>
      <c r="F46" s="11" t="s">
        <v>91</v>
      </c>
      <c r="G46" s="12" t="s">
        <v>47</v>
      </c>
      <c r="H46" s="12" t="s">
        <v>56</v>
      </c>
      <c r="I46" s="12" t="s">
        <v>70</v>
      </c>
      <c r="J46" s="13"/>
      <c r="K46" s="12" t="s">
        <v>248</v>
      </c>
      <c r="L46" s="12" t="s">
        <v>458</v>
      </c>
      <c r="M46" s="21" t="s">
        <v>454</v>
      </c>
      <c r="N46" s="13"/>
      <c r="O46" s="37" t="str">
        <f>"302,5"</f>
        <v>302,5</v>
      </c>
      <c r="P46" s="13" t="str">
        <f>"206,5167"</f>
        <v>206,5167</v>
      </c>
      <c r="Q46" s="11" t="s">
        <v>482</v>
      </c>
    </row>
    <row r="47" spans="1:17">
      <c r="A47" s="17" t="s">
        <v>15</v>
      </c>
      <c r="B47" s="14" t="s">
        <v>514</v>
      </c>
      <c r="C47" s="14" t="s">
        <v>515</v>
      </c>
      <c r="D47" s="14" t="s">
        <v>516</v>
      </c>
      <c r="E47" s="14" t="str">
        <f>"0,6714"</f>
        <v>0,6714</v>
      </c>
      <c r="F47" s="14" t="s">
        <v>403</v>
      </c>
      <c r="G47" s="16" t="s">
        <v>69</v>
      </c>
      <c r="H47" s="16" t="s">
        <v>56</v>
      </c>
      <c r="I47" s="15" t="s">
        <v>56</v>
      </c>
      <c r="J47" s="17"/>
      <c r="K47" s="16" t="s">
        <v>398</v>
      </c>
      <c r="L47" s="15" t="s">
        <v>398</v>
      </c>
      <c r="M47" s="15" t="s">
        <v>374</v>
      </c>
      <c r="N47" s="17"/>
      <c r="O47" s="40" t="str">
        <f>"315,0"</f>
        <v>315,0</v>
      </c>
      <c r="P47" s="17" t="str">
        <f>"211,4910"</f>
        <v>211,4910</v>
      </c>
      <c r="Q47" s="14" t="s">
        <v>517</v>
      </c>
    </row>
    <row r="48" spans="1:17">
      <c r="A48" s="17" t="s">
        <v>15</v>
      </c>
      <c r="B48" s="14" t="s">
        <v>1453</v>
      </c>
      <c r="C48" s="14" t="s">
        <v>1454</v>
      </c>
      <c r="D48" s="14" t="s">
        <v>488</v>
      </c>
      <c r="E48" s="14" t="str">
        <f>"0,6832"</f>
        <v>0,6832</v>
      </c>
      <c r="F48" s="14" t="s">
        <v>1455</v>
      </c>
      <c r="G48" s="15" t="s">
        <v>157</v>
      </c>
      <c r="H48" s="15" t="s">
        <v>209</v>
      </c>
      <c r="I48" s="16" t="s">
        <v>147</v>
      </c>
      <c r="J48" s="17"/>
      <c r="K48" s="15" t="s">
        <v>421</v>
      </c>
      <c r="L48" s="15" t="s">
        <v>422</v>
      </c>
      <c r="M48" s="15" t="s">
        <v>490</v>
      </c>
      <c r="N48" s="17"/>
      <c r="O48" s="40" t="str">
        <f>"385,0"</f>
        <v>385,0</v>
      </c>
      <c r="P48" s="17" t="str">
        <f>"263,0320"</f>
        <v>263,0320</v>
      </c>
      <c r="Q48" s="14" t="s">
        <v>158</v>
      </c>
    </row>
    <row r="49" spans="1:17">
      <c r="A49" s="17" t="s">
        <v>62</v>
      </c>
      <c r="B49" s="14" t="s">
        <v>2109</v>
      </c>
      <c r="C49" s="14" t="s">
        <v>2110</v>
      </c>
      <c r="D49" s="14" t="s">
        <v>575</v>
      </c>
      <c r="E49" s="14" t="str">
        <f>"0,6704"</f>
        <v>0,6704</v>
      </c>
      <c r="F49" s="14" t="s">
        <v>1461</v>
      </c>
      <c r="G49" s="16" t="s">
        <v>209</v>
      </c>
      <c r="H49" s="16" t="s">
        <v>58</v>
      </c>
      <c r="I49" s="15" t="s">
        <v>58</v>
      </c>
      <c r="J49" s="17"/>
      <c r="K49" s="15" t="s">
        <v>422</v>
      </c>
      <c r="L49" s="16" t="s">
        <v>529</v>
      </c>
      <c r="M49" s="16" t="s">
        <v>529</v>
      </c>
      <c r="N49" s="17"/>
      <c r="O49" s="40" t="str">
        <f>"380,0"</f>
        <v>380,0</v>
      </c>
      <c r="P49" s="17" t="str">
        <f>"254,7520"</f>
        <v>254,7520</v>
      </c>
      <c r="Q49" s="14" t="s">
        <v>158</v>
      </c>
    </row>
    <row r="50" spans="1:17">
      <c r="A50" s="17" t="s">
        <v>73</v>
      </c>
      <c r="B50" s="14" t="s">
        <v>2111</v>
      </c>
      <c r="C50" s="14" t="s">
        <v>1961</v>
      </c>
      <c r="D50" s="14" t="s">
        <v>536</v>
      </c>
      <c r="E50" s="14" t="str">
        <f>"0,6719"</f>
        <v>0,6719</v>
      </c>
      <c r="F50" s="14" t="s">
        <v>1378</v>
      </c>
      <c r="G50" s="16" t="s">
        <v>209</v>
      </c>
      <c r="H50" s="15" t="s">
        <v>209</v>
      </c>
      <c r="I50" s="16" t="s">
        <v>58</v>
      </c>
      <c r="J50" s="17"/>
      <c r="K50" s="15" t="s">
        <v>422</v>
      </c>
      <c r="L50" s="16" t="s">
        <v>490</v>
      </c>
      <c r="M50" s="16" t="s">
        <v>490</v>
      </c>
      <c r="N50" s="17"/>
      <c r="O50" s="40" t="str">
        <f>"375,0"</f>
        <v>375,0</v>
      </c>
      <c r="P50" s="17" t="str">
        <f>"251,9625"</f>
        <v>251,9625</v>
      </c>
      <c r="Q50" s="14" t="s">
        <v>158</v>
      </c>
    </row>
    <row r="51" spans="1:17">
      <c r="A51" s="17" t="s">
        <v>75</v>
      </c>
      <c r="B51" s="14" t="s">
        <v>2112</v>
      </c>
      <c r="C51" s="14" t="s">
        <v>2113</v>
      </c>
      <c r="D51" s="14" t="s">
        <v>2114</v>
      </c>
      <c r="E51" s="14" t="str">
        <f>"0,6945"</f>
        <v>0,6945</v>
      </c>
      <c r="F51" s="14" t="s">
        <v>227</v>
      </c>
      <c r="G51" s="15" t="s">
        <v>209</v>
      </c>
      <c r="H51" s="15" t="s">
        <v>346</v>
      </c>
      <c r="I51" s="16" t="s">
        <v>204</v>
      </c>
      <c r="J51" s="17"/>
      <c r="K51" s="15" t="s">
        <v>374</v>
      </c>
      <c r="L51" s="16" t="s">
        <v>455</v>
      </c>
      <c r="M51" s="16" t="s">
        <v>495</v>
      </c>
      <c r="N51" s="17"/>
      <c r="O51" s="40" t="str">
        <f>"342,5"</f>
        <v>342,5</v>
      </c>
      <c r="P51" s="17" t="str">
        <f>"237,8663"</f>
        <v>237,8663</v>
      </c>
      <c r="Q51" s="14" t="s">
        <v>158</v>
      </c>
    </row>
    <row r="52" spans="1:17">
      <c r="A52" s="17" t="s">
        <v>92</v>
      </c>
      <c r="B52" s="14" t="s">
        <v>2115</v>
      </c>
      <c r="C52" s="14" t="s">
        <v>940</v>
      </c>
      <c r="D52" s="14" t="s">
        <v>575</v>
      </c>
      <c r="E52" s="14" t="str">
        <f>"0,6704"</f>
        <v>0,6704</v>
      </c>
      <c r="F52" s="14" t="s">
        <v>1697</v>
      </c>
      <c r="G52" s="15" t="s">
        <v>58</v>
      </c>
      <c r="H52" s="16" t="s">
        <v>254</v>
      </c>
      <c r="I52" s="16" t="s">
        <v>254</v>
      </c>
      <c r="J52" s="17"/>
      <c r="K52" s="16" t="s">
        <v>421</v>
      </c>
      <c r="L52" s="16" t="s">
        <v>422</v>
      </c>
      <c r="M52" s="16" t="s">
        <v>422</v>
      </c>
      <c r="N52" s="17"/>
      <c r="O52" s="40">
        <v>0</v>
      </c>
      <c r="P52" s="17" t="str">
        <f>"0,0000"</f>
        <v>0,0000</v>
      </c>
      <c r="Q52" s="14" t="s">
        <v>158</v>
      </c>
    </row>
    <row r="53" spans="1:17">
      <c r="A53" s="17" t="s">
        <v>15</v>
      </c>
      <c r="B53" s="14" t="s">
        <v>592</v>
      </c>
      <c r="C53" s="14" t="s">
        <v>593</v>
      </c>
      <c r="D53" s="14" t="s">
        <v>539</v>
      </c>
      <c r="E53" s="14" t="str">
        <f>"0,6729"</f>
        <v>0,6729</v>
      </c>
      <c r="F53" s="14" t="s">
        <v>594</v>
      </c>
      <c r="G53" s="15" t="s">
        <v>69</v>
      </c>
      <c r="H53" s="15" t="s">
        <v>70</v>
      </c>
      <c r="I53" s="16" t="s">
        <v>145</v>
      </c>
      <c r="J53" s="17"/>
      <c r="K53" s="15" t="s">
        <v>374</v>
      </c>
      <c r="L53" s="15" t="s">
        <v>384</v>
      </c>
      <c r="M53" s="15" t="s">
        <v>420</v>
      </c>
      <c r="N53" s="17"/>
      <c r="O53" s="40" t="str">
        <f>"340,0"</f>
        <v>340,0</v>
      </c>
      <c r="P53" s="17" t="str">
        <f>"250,7495"</f>
        <v>250,7495</v>
      </c>
      <c r="Q53" s="14" t="s">
        <v>158</v>
      </c>
    </row>
    <row r="54" spans="1:17">
      <c r="A54" s="17" t="s">
        <v>15</v>
      </c>
      <c r="B54" s="14" t="s">
        <v>2116</v>
      </c>
      <c r="C54" s="14" t="s">
        <v>2117</v>
      </c>
      <c r="D54" s="14" t="s">
        <v>2118</v>
      </c>
      <c r="E54" s="14" t="str">
        <f>"0,6849"</f>
        <v>0,6849</v>
      </c>
      <c r="F54" s="14" t="s">
        <v>1378</v>
      </c>
      <c r="G54" s="15" t="s">
        <v>38</v>
      </c>
      <c r="H54" s="15" t="s">
        <v>49</v>
      </c>
      <c r="I54" s="16" t="s">
        <v>55</v>
      </c>
      <c r="J54" s="17"/>
      <c r="K54" s="15" t="s">
        <v>151</v>
      </c>
      <c r="L54" s="15" t="s">
        <v>248</v>
      </c>
      <c r="M54" s="16" t="s">
        <v>351</v>
      </c>
      <c r="N54" s="17"/>
      <c r="O54" s="40" t="str">
        <f>"275,0"</f>
        <v>275,0</v>
      </c>
      <c r="P54" s="17" t="str">
        <f>"223,5685"</f>
        <v>223,5685</v>
      </c>
      <c r="Q54" s="14" t="s">
        <v>158</v>
      </c>
    </row>
    <row r="55" spans="1:17">
      <c r="A55" s="20" t="s">
        <v>62</v>
      </c>
      <c r="B55" s="18" t="s">
        <v>595</v>
      </c>
      <c r="C55" s="18" t="s">
        <v>596</v>
      </c>
      <c r="D55" s="18" t="s">
        <v>468</v>
      </c>
      <c r="E55" s="18" t="str">
        <f>"0,6744"</f>
        <v>0,6744</v>
      </c>
      <c r="F55" s="18" t="s">
        <v>594</v>
      </c>
      <c r="G55" s="19" t="s">
        <v>67</v>
      </c>
      <c r="H55" s="19" t="s">
        <v>68</v>
      </c>
      <c r="I55" s="22" t="s">
        <v>110</v>
      </c>
      <c r="J55" s="20"/>
      <c r="K55" s="19" t="s">
        <v>71</v>
      </c>
      <c r="L55" s="22" t="s">
        <v>58</v>
      </c>
      <c r="M55" s="19" t="s">
        <v>59</v>
      </c>
      <c r="N55" s="20"/>
      <c r="O55" s="38" t="str">
        <f>"237,5"</f>
        <v>237,5</v>
      </c>
      <c r="P55" s="20" t="str">
        <f>"203,8964"</f>
        <v>203,8964</v>
      </c>
      <c r="Q55" s="18" t="s">
        <v>597</v>
      </c>
    </row>
    <row r="56" spans="1:17">
      <c r="B56" s="5" t="s">
        <v>40</v>
      </c>
    </row>
    <row r="57" spans="1:17" ht="15.95">
      <c r="A57" s="102" t="s">
        <v>598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</row>
    <row r="58" spans="1:17">
      <c r="A58" s="13" t="s">
        <v>15</v>
      </c>
      <c r="B58" s="11" t="s">
        <v>2119</v>
      </c>
      <c r="C58" s="11" t="s">
        <v>2120</v>
      </c>
      <c r="D58" s="11" t="s">
        <v>1118</v>
      </c>
      <c r="E58" s="11" t="str">
        <f>"0,6440"</f>
        <v>0,6440</v>
      </c>
      <c r="F58" s="11" t="s">
        <v>2121</v>
      </c>
      <c r="G58" s="21" t="s">
        <v>69</v>
      </c>
      <c r="H58" s="21" t="s">
        <v>69</v>
      </c>
      <c r="I58" s="12" t="s">
        <v>69</v>
      </c>
      <c r="J58" s="13"/>
      <c r="K58" s="12" t="s">
        <v>151</v>
      </c>
      <c r="L58" s="21" t="s">
        <v>398</v>
      </c>
      <c r="M58" s="21" t="s">
        <v>374</v>
      </c>
      <c r="N58" s="13"/>
      <c r="O58" s="37" t="str">
        <f>"270,0"</f>
        <v>270,0</v>
      </c>
      <c r="P58" s="13" t="str">
        <f>"173,8800"</f>
        <v>173,8800</v>
      </c>
      <c r="Q58" s="11" t="s">
        <v>2122</v>
      </c>
    </row>
    <row r="59" spans="1:17">
      <c r="A59" s="17" t="s">
        <v>15</v>
      </c>
      <c r="B59" s="14" t="s">
        <v>616</v>
      </c>
      <c r="C59" s="14" t="s">
        <v>617</v>
      </c>
      <c r="D59" s="14" t="s">
        <v>606</v>
      </c>
      <c r="E59" s="14" t="str">
        <f>"0,6515"</f>
        <v>0,6515</v>
      </c>
      <c r="F59" s="14" t="s">
        <v>618</v>
      </c>
      <c r="G59" s="15" t="s">
        <v>145</v>
      </c>
      <c r="H59" s="15" t="s">
        <v>71</v>
      </c>
      <c r="I59" s="15" t="s">
        <v>209</v>
      </c>
      <c r="J59" s="17"/>
      <c r="K59" s="15" t="s">
        <v>399</v>
      </c>
      <c r="L59" s="15" t="s">
        <v>420</v>
      </c>
      <c r="M59" s="15" t="s">
        <v>421</v>
      </c>
      <c r="N59" s="17"/>
      <c r="O59" s="40" t="str">
        <f>"365,0"</f>
        <v>365,0</v>
      </c>
      <c r="P59" s="17" t="str">
        <f>"237,7975"</f>
        <v>237,7975</v>
      </c>
      <c r="Q59" s="14" t="s">
        <v>619</v>
      </c>
    </row>
    <row r="60" spans="1:17">
      <c r="A60" s="17" t="s">
        <v>62</v>
      </c>
      <c r="B60" s="14" t="s">
        <v>1475</v>
      </c>
      <c r="C60" s="14" t="s">
        <v>1476</v>
      </c>
      <c r="D60" s="14" t="s">
        <v>653</v>
      </c>
      <c r="E60" s="14" t="str">
        <f>"0,6475"</f>
        <v>0,6475</v>
      </c>
      <c r="F60" s="14" t="s">
        <v>2123</v>
      </c>
      <c r="G60" s="15" t="s">
        <v>84</v>
      </c>
      <c r="H60" s="16" t="s">
        <v>162</v>
      </c>
      <c r="I60" s="15" t="s">
        <v>162</v>
      </c>
      <c r="J60" s="17"/>
      <c r="K60" s="15" t="s">
        <v>508</v>
      </c>
      <c r="L60" s="16" t="s">
        <v>422</v>
      </c>
      <c r="M60" s="16" t="s">
        <v>437</v>
      </c>
      <c r="N60" s="17"/>
      <c r="O60" s="40" t="str">
        <f>"355,0"</f>
        <v>355,0</v>
      </c>
      <c r="P60" s="17" t="str">
        <f>"229,8625"</f>
        <v>229,8625</v>
      </c>
      <c r="Q60" s="14" t="s">
        <v>158</v>
      </c>
    </row>
    <row r="61" spans="1:17">
      <c r="A61" s="17" t="s">
        <v>73</v>
      </c>
      <c r="B61" s="14" t="s">
        <v>2124</v>
      </c>
      <c r="C61" s="14" t="s">
        <v>2125</v>
      </c>
      <c r="D61" s="14" t="s">
        <v>625</v>
      </c>
      <c r="E61" s="14" t="str">
        <f>"0,6402"</f>
        <v>0,6402</v>
      </c>
      <c r="F61" s="14" t="s">
        <v>737</v>
      </c>
      <c r="G61" s="15" t="s">
        <v>209</v>
      </c>
      <c r="H61" s="15" t="s">
        <v>58</v>
      </c>
      <c r="I61" s="16" t="s">
        <v>60</v>
      </c>
      <c r="J61" s="17"/>
      <c r="K61" s="15" t="s">
        <v>398</v>
      </c>
      <c r="L61" s="15" t="s">
        <v>374</v>
      </c>
      <c r="M61" s="16" t="s">
        <v>384</v>
      </c>
      <c r="N61" s="17"/>
      <c r="O61" s="40" t="str">
        <f>"340,0"</f>
        <v>340,0</v>
      </c>
      <c r="P61" s="17" t="str">
        <f>"217,6680"</f>
        <v>217,6680</v>
      </c>
      <c r="Q61" s="14" t="s">
        <v>517</v>
      </c>
    </row>
    <row r="62" spans="1:17">
      <c r="A62" s="17" t="s">
        <v>15</v>
      </c>
      <c r="B62" s="14" t="s">
        <v>2126</v>
      </c>
      <c r="C62" s="14" t="s">
        <v>2127</v>
      </c>
      <c r="D62" s="14" t="s">
        <v>1070</v>
      </c>
      <c r="E62" s="14" t="str">
        <f>"0,6424"</f>
        <v>0,6424</v>
      </c>
      <c r="F62" s="14" t="s">
        <v>2128</v>
      </c>
      <c r="G62" s="15" t="s">
        <v>60</v>
      </c>
      <c r="H62" s="16" t="s">
        <v>151</v>
      </c>
      <c r="I62" s="15" t="s">
        <v>151</v>
      </c>
      <c r="J62" s="17"/>
      <c r="K62" s="15" t="s">
        <v>374</v>
      </c>
      <c r="L62" s="16" t="s">
        <v>436</v>
      </c>
      <c r="M62" s="15" t="s">
        <v>436</v>
      </c>
      <c r="N62" s="17"/>
      <c r="O62" s="40" t="str">
        <f>"375,0"</f>
        <v>375,0</v>
      </c>
      <c r="P62" s="17" t="str">
        <f>"240,9000"</f>
        <v>240,9000</v>
      </c>
      <c r="Q62" s="14" t="s">
        <v>158</v>
      </c>
    </row>
    <row r="63" spans="1:17">
      <c r="A63" s="17" t="s">
        <v>62</v>
      </c>
      <c r="B63" s="14" t="s">
        <v>2129</v>
      </c>
      <c r="C63" s="14" t="s">
        <v>2130</v>
      </c>
      <c r="D63" s="14" t="s">
        <v>643</v>
      </c>
      <c r="E63" s="14" t="str">
        <f>"0,6391"</f>
        <v>0,6391</v>
      </c>
      <c r="F63" s="14" t="s">
        <v>2131</v>
      </c>
      <c r="G63" s="16" t="s">
        <v>58</v>
      </c>
      <c r="H63" s="15" t="s">
        <v>58</v>
      </c>
      <c r="I63" s="16" t="s">
        <v>204</v>
      </c>
      <c r="J63" s="17"/>
      <c r="K63" s="16" t="s">
        <v>442</v>
      </c>
      <c r="L63" s="15" t="s">
        <v>442</v>
      </c>
      <c r="M63" s="16" t="s">
        <v>459</v>
      </c>
      <c r="N63" s="17"/>
      <c r="O63" s="40" t="str">
        <f>"365,0"</f>
        <v>365,0</v>
      </c>
      <c r="P63" s="17" t="str">
        <f>"233,2715"</f>
        <v>233,2715</v>
      </c>
      <c r="Q63" s="14" t="s">
        <v>158</v>
      </c>
    </row>
    <row r="64" spans="1:17">
      <c r="A64" s="17" t="s">
        <v>73</v>
      </c>
      <c r="B64" s="14" t="s">
        <v>2132</v>
      </c>
      <c r="C64" s="14" t="s">
        <v>2133</v>
      </c>
      <c r="D64" s="14" t="s">
        <v>622</v>
      </c>
      <c r="E64" s="14" t="str">
        <f>"0,6495"</f>
        <v>0,6495</v>
      </c>
      <c r="F64" s="14" t="s">
        <v>91</v>
      </c>
      <c r="G64" s="16" t="s">
        <v>145</v>
      </c>
      <c r="H64" s="15" t="s">
        <v>145</v>
      </c>
      <c r="I64" s="16" t="s">
        <v>157</v>
      </c>
      <c r="J64" s="17"/>
      <c r="K64" s="15" t="s">
        <v>60</v>
      </c>
      <c r="L64" s="16" t="s">
        <v>151</v>
      </c>
      <c r="M64" s="16" t="s">
        <v>152</v>
      </c>
      <c r="N64" s="17"/>
      <c r="O64" s="40" t="str">
        <f>"275,0"</f>
        <v>275,0</v>
      </c>
      <c r="P64" s="17" t="str">
        <f>"178,6125"</f>
        <v>178,6125</v>
      </c>
      <c r="Q64" s="14" t="s">
        <v>2134</v>
      </c>
    </row>
    <row r="65" spans="1:17">
      <c r="A65" s="17" t="s">
        <v>92</v>
      </c>
      <c r="B65" s="14" t="s">
        <v>2135</v>
      </c>
      <c r="C65" s="14" t="s">
        <v>2136</v>
      </c>
      <c r="D65" s="14" t="s">
        <v>1480</v>
      </c>
      <c r="E65" s="14" t="str">
        <f>"0,6413"</f>
        <v>0,6413</v>
      </c>
      <c r="F65" s="14" t="s">
        <v>2137</v>
      </c>
      <c r="G65" s="15" t="s">
        <v>58</v>
      </c>
      <c r="H65" s="15" t="s">
        <v>59</v>
      </c>
      <c r="I65" s="16" t="s">
        <v>60</v>
      </c>
      <c r="J65" s="17"/>
      <c r="K65" s="16" t="s">
        <v>422</v>
      </c>
      <c r="L65" s="16" t="s">
        <v>422</v>
      </c>
      <c r="M65" s="16" t="s">
        <v>422</v>
      </c>
      <c r="N65" s="17"/>
      <c r="O65" s="40">
        <v>0</v>
      </c>
      <c r="P65" s="17" t="str">
        <f>"0,0000"</f>
        <v>0,0000</v>
      </c>
      <c r="Q65" s="14" t="s">
        <v>158</v>
      </c>
    </row>
    <row r="66" spans="1:17">
      <c r="A66" s="17" t="s">
        <v>92</v>
      </c>
      <c r="B66" s="14" t="s">
        <v>2138</v>
      </c>
      <c r="C66" s="14" t="s">
        <v>2139</v>
      </c>
      <c r="D66" s="14" t="s">
        <v>1081</v>
      </c>
      <c r="E66" s="14" t="str">
        <f>"0,6384"</f>
        <v>0,6384</v>
      </c>
      <c r="F66" s="14" t="s">
        <v>1451</v>
      </c>
      <c r="G66" s="15" t="s">
        <v>248</v>
      </c>
      <c r="H66" s="16" t="s">
        <v>452</v>
      </c>
      <c r="I66" s="16" t="s">
        <v>452</v>
      </c>
      <c r="J66" s="17"/>
      <c r="K66" s="16" t="s">
        <v>523</v>
      </c>
      <c r="L66" s="16" t="s">
        <v>754</v>
      </c>
      <c r="M66" s="16" t="s">
        <v>754</v>
      </c>
      <c r="N66" s="17"/>
      <c r="O66" s="40">
        <v>0</v>
      </c>
      <c r="P66" s="17" t="str">
        <f>"0,0000"</f>
        <v>0,0000</v>
      </c>
      <c r="Q66" s="14" t="s">
        <v>158</v>
      </c>
    </row>
    <row r="67" spans="1:17">
      <c r="A67" s="17" t="s">
        <v>15</v>
      </c>
      <c r="B67" s="14" t="s">
        <v>2140</v>
      </c>
      <c r="C67" s="14" t="s">
        <v>2141</v>
      </c>
      <c r="D67" s="14" t="s">
        <v>1741</v>
      </c>
      <c r="E67" s="14" t="str">
        <f>"0,6487"</f>
        <v>0,6487</v>
      </c>
      <c r="F67" s="14" t="s">
        <v>2142</v>
      </c>
      <c r="G67" s="15" t="s">
        <v>84</v>
      </c>
      <c r="H67" s="15" t="s">
        <v>145</v>
      </c>
      <c r="I67" s="15" t="s">
        <v>157</v>
      </c>
      <c r="J67" s="17"/>
      <c r="K67" s="16" t="s">
        <v>151</v>
      </c>
      <c r="L67" s="15" t="s">
        <v>151</v>
      </c>
      <c r="M67" s="16" t="s">
        <v>743</v>
      </c>
      <c r="N67" s="17"/>
      <c r="O67" s="40" t="str">
        <f>"292,5"</f>
        <v>292,5</v>
      </c>
      <c r="P67" s="17" t="str">
        <f>"189,7447"</f>
        <v>189,7447</v>
      </c>
      <c r="Q67" s="14" t="s">
        <v>2122</v>
      </c>
    </row>
    <row r="68" spans="1:17">
      <c r="A68" s="17" t="s">
        <v>92</v>
      </c>
      <c r="B68" s="14" t="s">
        <v>2135</v>
      </c>
      <c r="C68" s="14" t="s">
        <v>2143</v>
      </c>
      <c r="D68" s="14" t="s">
        <v>1480</v>
      </c>
      <c r="E68" s="14" t="str">
        <f>"0,6413"</f>
        <v>0,6413</v>
      </c>
      <c r="F68" s="14" t="s">
        <v>2137</v>
      </c>
      <c r="G68" s="15" t="s">
        <v>58</v>
      </c>
      <c r="H68" s="15" t="s">
        <v>59</v>
      </c>
      <c r="I68" s="16" t="s">
        <v>60</v>
      </c>
      <c r="J68" s="17"/>
      <c r="K68" s="16" t="s">
        <v>422</v>
      </c>
      <c r="L68" s="16" t="s">
        <v>422</v>
      </c>
      <c r="M68" s="16" t="s">
        <v>422</v>
      </c>
      <c r="N68" s="17"/>
      <c r="O68" s="40">
        <v>0</v>
      </c>
      <c r="P68" s="17" t="str">
        <f>"0,0000"</f>
        <v>0,0000</v>
      </c>
      <c r="Q68" s="14" t="s">
        <v>158</v>
      </c>
    </row>
    <row r="69" spans="1:17">
      <c r="A69" s="20" t="s">
        <v>15</v>
      </c>
      <c r="B69" s="18" t="s">
        <v>1506</v>
      </c>
      <c r="C69" s="18" t="s">
        <v>1507</v>
      </c>
      <c r="D69" s="18" t="s">
        <v>615</v>
      </c>
      <c r="E69" s="18" t="str">
        <f>"0,6491"</f>
        <v>0,6491</v>
      </c>
      <c r="F69" s="18" t="s">
        <v>594</v>
      </c>
      <c r="G69" s="19" t="s">
        <v>103</v>
      </c>
      <c r="H69" s="19" t="s">
        <v>26</v>
      </c>
      <c r="I69" s="22" t="s">
        <v>33</v>
      </c>
      <c r="J69" s="20"/>
      <c r="K69" s="19" t="s">
        <v>80</v>
      </c>
      <c r="L69" s="19" t="s">
        <v>36</v>
      </c>
      <c r="M69" s="19" t="s">
        <v>38</v>
      </c>
      <c r="N69" s="20"/>
      <c r="O69" s="38" t="str">
        <f>"160,0"</f>
        <v>160,0</v>
      </c>
      <c r="P69" s="20" t="str">
        <f>"137,2976"</f>
        <v>137,2976</v>
      </c>
      <c r="Q69" s="18" t="s">
        <v>597</v>
      </c>
    </row>
    <row r="70" spans="1:17">
      <c r="B70" s="5" t="s">
        <v>40</v>
      </c>
    </row>
    <row r="71" spans="1:17" ht="15.95">
      <c r="A71" s="102" t="s">
        <v>670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</row>
    <row r="72" spans="1:17">
      <c r="A72" s="13" t="s">
        <v>15</v>
      </c>
      <c r="B72" s="11" t="s">
        <v>1519</v>
      </c>
      <c r="C72" s="11" t="s">
        <v>1520</v>
      </c>
      <c r="D72" s="11" t="s">
        <v>1521</v>
      </c>
      <c r="E72" s="11" t="str">
        <f>"0,6172"</f>
        <v>0,6172</v>
      </c>
      <c r="F72" s="11" t="s">
        <v>1522</v>
      </c>
      <c r="G72" s="12" t="s">
        <v>398</v>
      </c>
      <c r="H72" s="12" t="s">
        <v>454</v>
      </c>
      <c r="I72" s="21" t="s">
        <v>743</v>
      </c>
      <c r="J72" s="13"/>
      <c r="K72" s="12" t="s">
        <v>1086</v>
      </c>
      <c r="L72" s="21" t="s">
        <v>1087</v>
      </c>
      <c r="M72" s="12" t="s">
        <v>842</v>
      </c>
      <c r="N72" s="21" t="s">
        <v>1229</v>
      </c>
      <c r="O72" s="37" t="str">
        <f>"532,5"</f>
        <v>532,5</v>
      </c>
      <c r="P72" s="13" t="str">
        <f>"328,6590"</f>
        <v>328,6590</v>
      </c>
      <c r="Q72" s="11" t="s">
        <v>1523</v>
      </c>
    </row>
    <row r="73" spans="1:17">
      <c r="A73" s="17" t="s">
        <v>62</v>
      </c>
      <c r="B73" s="14" t="s">
        <v>2144</v>
      </c>
      <c r="C73" s="14" t="s">
        <v>2145</v>
      </c>
      <c r="D73" s="14" t="s">
        <v>2146</v>
      </c>
      <c r="E73" s="14" t="str">
        <f>"0,6101"</f>
        <v>0,6101</v>
      </c>
      <c r="F73" s="14" t="s">
        <v>602</v>
      </c>
      <c r="G73" s="15" t="s">
        <v>453</v>
      </c>
      <c r="H73" s="16" t="s">
        <v>383</v>
      </c>
      <c r="I73" s="15" t="s">
        <v>383</v>
      </c>
      <c r="J73" s="17"/>
      <c r="K73" s="15" t="s">
        <v>523</v>
      </c>
      <c r="L73" s="15" t="s">
        <v>1717</v>
      </c>
      <c r="M73" s="16" t="s">
        <v>746</v>
      </c>
      <c r="N73" s="17"/>
      <c r="O73" s="40" t="str">
        <f>"472,5"</f>
        <v>472,5</v>
      </c>
      <c r="P73" s="17" t="str">
        <f>"288,2722"</f>
        <v>288,2722</v>
      </c>
      <c r="Q73" s="14" t="s">
        <v>2147</v>
      </c>
    </row>
    <row r="74" spans="1:17">
      <c r="A74" s="17" t="s">
        <v>73</v>
      </c>
      <c r="B74" s="14" t="s">
        <v>2148</v>
      </c>
      <c r="C74" s="14" t="s">
        <v>2149</v>
      </c>
      <c r="D74" s="14" t="s">
        <v>1832</v>
      </c>
      <c r="E74" s="14" t="str">
        <f>"0,6106"</f>
        <v>0,6106</v>
      </c>
      <c r="F74" s="14" t="s">
        <v>1254</v>
      </c>
      <c r="G74" s="15" t="s">
        <v>151</v>
      </c>
      <c r="H74" s="15" t="s">
        <v>152</v>
      </c>
      <c r="I74" s="16" t="s">
        <v>248</v>
      </c>
      <c r="J74" s="17"/>
      <c r="K74" s="15" t="s">
        <v>422</v>
      </c>
      <c r="L74" s="15" t="s">
        <v>490</v>
      </c>
      <c r="M74" s="16" t="s">
        <v>529</v>
      </c>
      <c r="N74" s="17"/>
      <c r="O74" s="40" t="str">
        <f>"415,0"</f>
        <v>415,0</v>
      </c>
      <c r="P74" s="17" t="str">
        <f>"253,3990"</f>
        <v>253,3990</v>
      </c>
      <c r="Q74" s="14" t="s">
        <v>158</v>
      </c>
    </row>
    <row r="75" spans="1:17">
      <c r="A75" s="17" t="s">
        <v>75</v>
      </c>
      <c r="B75" s="14" t="s">
        <v>688</v>
      </c>
      <c r="C75" s="14" t="s">
        <v>689</v>
      </c>
      <c r="D75" s="14" t="s">
        <v>677</v>
      </c>
      <c r="E75" s="14" t="str">
        <f>"0,6098"</f>
        <v>0,6098</v>
      </c>
      <c r="F75" s="14" t="s">
        <v>690</v>
      </c>
      <c r="G75" s="15" t="s">
        <v>205</v>
      </c>
      <c r="H75" s="15" t="s">
        <v>152</v>
      </c>
      <c r="I75" s="16" t="s">
        <v>248</v>
      </c>
      <c r="J75" s="17"/>
      <c r="K75" s="15" t="s">
        <v>421</v>
      </c>
      <c r="L75" s="15" t="s">
        <v>627</v>
      </c>
      <c r="M75" s="16" t="s">
        <v>523</v>
      </c>
      <c r="N75" s="17"/>
      <c r="O75" s="40" t="str">
        <f>"410,0"</f>
        <v>410,0</v>
      </c>
      <c r="P75" s="17" t="str">
        <f>"250,0180"</f>
        <v>250,0180</v>
      </c>
      <c r="Q75" s="14" t="s">
        <v>691</v>
      </c>
    </row>
    <row r="76" spans="1:17">
      <c r="A76" s="17" t="s">
        <v>87</v>
      </c>
      <c r="B76" s="14" t="s">
        <v>696</v>
      </c>
      <c r="C76" s="14" t="s">
        <v>697</v>
      </c>
      <c r="D76" s="14" t="s">
        <v>698</v>
      </c>
      <c r="E76" s="14" t="str">
        <f>"0,6111"</f>
        <v>0,6111</v>
      </c>
      <c r="F76" s="14" t="s">
        <v>2150</v>
      </c>
      <c r="G76" s="15" t="s">
        <v>205</v>
      </c>
      <c r="H76" s="15" t="s">
        <v>152</v>
      </c>
      <c r="I76" s="16" t="s">
        <v>347</v>
      </c>
      <c r="J76" s="17"/>
      <c r="K76" s="15" t="s">
        <v>436</v>
      </c>
      <c r="L76" s="15" t="s">
        <v>442</v>
      </c>
      <c r="M76" s="16" t="s">
        <v>421</v>
      </c>
      <c r="N76" s="17"/>
      <c r="O76" s="40" t="str">
        <f>"390,0"</f>
        <v>390,0</v>
      </c>
      <c r="P76" s="17" t="str">
        <f>"238,3290"</f>
        <v>238,3290</v>
      </c>
      <c r="Q76" s="14" t="s">
        <v>223</v>
      </c>
    </row>
    <row r="77" spans="1:17">
      <c r="A77" s="17" t="s">
        <v>168</v>
      </c>
      <c r="B77" s="14" t="s">
        <v>1526</v>
      </c>
      <c r="C77" s="14" t="s">
        <v>1527</v>
      </c>
      <c r="D77" s="14" t="s">
        <v>1124</v>
      </c>
      <c r="E77" s="14" t="str">
        <f>"0,6197"</f>
        <v>0,6197</v>
      </c>
      <c r="F77" s="14" t="s">
        <v>2151</v>
      </c>
      <c r="G77" s="15" t="s">
        <v>209</v>
      </c>
      <c r="H77" s="16" t="s">
        <v>58</v>
      </c>
      <c r="I77" s="16" t="s">
        <v>58</v>
      </c>
      <c r="J77" s="17"/>
      <c r="K77" s="15" t="s">
        <v>384</v>
      </c>
      <c r="L77" s="15" t="s">
        <v>441</v>
      </c>
      <c r="M77" s="15" t="s">
        <v>442</v>
      </c>
      <c r="N77" s="17"/>
      <c r="O77" s="40" t="str">
        <f>"360,0"</f>
        <v>360,0</v>
      </c>
      <c r="P77" s="17" t="str">
        <f>"223,0920"</f>
        <v>223,0920</v>
      </c>
      <c r="Q77" s="14" t="s">
        <v>158</v>
      </c>
    </row>
    <row r="78" spans="1:17">
      <c r="A78" s="17" t="s">
        <v>172</v>
      </c>
      <c r="B78" s="14" t="s">
        <v>2152</v>
      </c>
      <c r="C78" s="14" t="s">
        <v>2153</v>
      </c>
      <c r="D78" s="14" t="s">
        <v>2154</v>
      </c>
      <c r="E78" s="14" t="str">
        <f>"0,6366"</f>
        <v>0,6366</v>
      </c>
      <c r="F78" s="14" t="s">
        <v>91</v>
      </c>
      <c r="G78" s="15" t="s">
        <v>85</v>
      </c>
      <c r="H78" s="15" t="s">
        <v>157</v>
      </c>
      <c r="I78" s="16" t="s">
        <v>209</v>
      </c>
      <c r="J78" s="17"/>
      <c r="K78" s="15" t="s">
        <v>398</v>
      </c>
      <c r="L78" s="15" t="s">
        <v>392</v>
      </c>
      <c r="M78" s="15" t="s">
        <v>374</v>
      </c>
      <c r="N78" s="17"/>
      <c r="O78" s="40" t="str">
        <f>"332,5"</f>
        <v>332,5</v>
      </c>
      <c r="P78" s="17" t="str">
        <f>"211,6695"</f>
        <v>211,6695</v>
      </c>
      <c r="Q78" s="14" t="s">
        <v>158</v>
      </c>
    </row>
    <row r="79" spans="1:17">
      <c r="A79" s="17" t="s">
        <v>178</v>
      </c>
      <c r="B79" s="14" t="s">
        <v>2155</v>
      </c>
      <c r="C79" s="14" t="s">
        <v>2156</v>
      </c>
      <c r="D79" s="14" t="s">
        <v>2146</v>
      </c>
      <c r="E79" s="14" t="str">
        <f>"0,6101"</f>
        <v>0,6101</v>
      </c>
      <c r="F79" s="14" t="s">
        <v>1950</v>
      </c>
      <c r="G79" s="15" t="s">
        <v>56</v>
      </c>
      <c r="H79" s="15" t="s">
        <v>162</v>
      </c>
      <c r="I79" s="15" t="s">
        <v>85</v>
      </c>
      <c r="J79" s="17"/>
      <c r="K79" s="16" t="s">
        <v>374</v>
      </c>
      <c r="L79" s="15" t="s">
        <v>374</v>
      </c>
      <c r="M79" s="16" t="s">
        <v>420</v>
      </c>
      <c r="N79" s="17"/>
      <c r="O79" s="40" t="str">
        <f>"327,5"</f>
        <v>327,5</v>
      </c>
      <c r="P79" s="17" t="str">
        <f>"199,8077"</f>
        <v>199,8077</v>
      </c>
      <c r="Q79" s="14" t="s">
        <v>2157</v>
      </c>
    </row>
    <row r="80" spans="1:17">
      <c r="A80" s="17" t="s">
        <v>15</v>
      </c>
      <c r="B80" s="14" t="s">
        <v>2148</v>
      </c>
      <c r="C80" s="14" t="s">
        <v>2158</v>
      </c>
      <c r="D80" s="14" t="s">
        <v>1832</v>
      </c>
      <c r="E80" s="14" t="str">
        <f>"0,6106"</f>
        <v>0,6106</v>
      </c>
      <c r="F80" s="14" t="s">
        <v>1254</v>
      </c>
      <c r="G80" s="15" t="s">
        <v>151</v>
      </c>
      <c r="H80" s="15" t="s">
        <v>152</v>
      </c>
      <c r="I80" s="16" t="s">
        <v>248</v>
      </c>
      <c r="J80" s="17"/>
      <c r="K80" s="15" t="s">
        <v>422</v>
      </c>
      <c r="L80" s="15" t="s">
        <v>490</v>
      </c>
      <c r="M80" s="16" t="s">
        <v>529</v>
      </c>
      <c r="N80" s="17"/>
      <c r="O80" s="40" t="str">
        <f>"415,0"</f>
        <v>415,0</v>
      </c>
      <c r="P80" s="17" t="str">
        <f>"268,6029"</f>
        <v>268,6029</v>
      </c>
      <c r="Q80" s="14" t="s">
        <v>158</v>
      </c>
    </row>
    <row r="81" spans="1:17">
      <c r="A81" s="17" t="s">
        <v>62</v>
      </c>
      <c r="B81" s="14" t="s">
        <v>709</v>
      </c>
      <c r="C81" s="14" t="s">
        <v>710</v>
      </c>
      <c r="D81" s="14" t="s">
        <v>711</v>
      </c>
      <c r="E81" s="14" t="str">
        <f>"0,6091"</f>
        <v>0,6091</v>
      </c>
      <c r="F81" s="14" t="s">
        <v>166</v>
      </c>
      <c r="G81" s="15" t="s">
        <v>209</v>
      </c>
      <c r="H81" s="15" t="s">
        <v>147</v>
      </c>
      <c r="I81" s="15" t="s">
        <v>58</v>
      </c>
      <c r="J81" s="17"/>
      <c r="K81" s="15" t="s">
        <v>384</v>
      </c>
      <c r="L81" s="15" t="s">
        <v>420</v>
      </c>
      <c r="M81" s="16" t="s">
        <v>442</v>
      </c>
      <c r="N81" s="17"/>
      <c r="O81" s="40" t="str">
        <f>"360,0"</f>
        <v>360,0</v>
      </c>
      <c r="P81" s="17" t="str">
        <f>"225,4157"</f>
        <v>225,4157</v>
      </c>
      <c r="Q81" s="14" t="s">
        <v>712</v>
      </c>
    </row>
    <row r="82" spans="1:17">
      <c r="A82" s="17" t="s">
        <v>15</v>
      </c>
      <c r="B82" s="14" t="s">
        <v>2159</v>
      </c>
      <c r="C82" s="14" t="s">
        <v>2160</v>
      </c>
      <c r="D82" s="14" t="s">
        <v>2161</v>
      </c>
      <c r="E82" s="14" t="str">
        <f>"0,6257"</f>
        <v>0,6257</v>
      </c>
      <c r="F82" s="14" t="s">
        <v>2162</v>
      </c>
      <c r="G82" s="15" t="s">
        <v>71</v>
      </c>
      <c r="H82" s="15" t="s">
        <v>147</v>
      </c>
      <c r="I82" s="15" t="s">
        <v>59</v>
      </c>
      <c r="J82" s="17"/>
      <c r="K82" s="15" t="s">
        <v>421</v>
      </c>
      <c r="L82" s="15" t="s">
        <v>422</v>
      </c>
      <c r="M82" s="15" t="s">
        <v>627</v>
      </c>
      <c r="N82" s="17"/>
      <c r="O82" s="40" t="str">
        <f>"390,0"</f>
        <v>390,0</v>
      </c>
      <c r="P82" s="17" t="str">
        <f>"289,6553"</f>
        <v>289,6553</v>
      </c>
      <c r="Q82" s="14" t="s">
        <v>2163</v>
      </c>
    </row>
    <row r="83" spans="1:17">
      <c r="A83" s="17" t="s">
        <v>15</v>
      </c>
      <c r="B83" s="14" t="s">
        <v>721</v>
      </c>
      <c r="C83" s="14" t="s">
        <v>722</v>
      </c>
      <c r="D83" s="14" t="s">
        <v>723</v>
      </c>
      <c r="E83" s="14" t="str">
        <f>"0,6177"</f>
        <v>0,6177</v>
      </c>
      <c r="F83" s="14" t="s">
        <v>594</v>
      </c>
      <c r="G83" s="15" t="s">
        <v>56</v>
      </c>
      <c r="H83" s="16" t="s">
        <v>145</v>
      </c>
      <c r="I83" s="15" t="s">
        <v>145</v>
      </c>
      <c r="J83" s="17"/>
      <c r="K83" s="15" t="s">
        <v>60</v>
      </c>
      <c r="L83" s="16" t="s">
        <v>248</v>
      </c>
      <c r="M83" s="15" t="s">
        <v>248</v>
      </c>
      <c r="N83" s="17"/>
      <c r="O83" s="40" t="str">
        <f>"295,0"</f>
        <v>295,0</v>
      </c>
      <c r="P83" s="17" t="str">
        <f>"267,8656"</f>
        <v>267,8656</v>
      </c>
      <c r="Q83" s="14" t="s">
        <v>158</v>
      </c>
    </row>
    <row r="84" spans="1:17">
      <c r="A84" s="20" t="s">
        <v>15</v>
      </c>
      <c r="B84" s="18" t="s">
        <v>2164</v>
      </c>
      <c r="C84" s="18" t="s">
        <v>2165</v>
      </c>
      <c r="D84" s="18" t="s">
        <v>1168</v>
      </c>
      <c r="E84" s="18" t="str">
        <f>"0,6183"</f>
        <v>0,6183</v>
      </c>
      <c r="F84" s="18" t="s">
        <v>2166</v>
      </c>
      <c r="G84" s="19" t="s">
        <v>36</v>
      </c>
      <c r="H84" s="19" t="s">
        <v>37</v>
      </c>
      <c r="I84" s="22" t="s">
        <v>38</v>
      </c>
      <c r="J84" s="20"/>
      <c r="K84" s="19" t="s">
        <v>205</v>
      </c>
      <c r="L84" s="19" t="s">
        <v>152</v>
      </c>
      <c r="M84" s="19" t="s">
        <v>248</v>
      </c>
      <c r="N84" s="20"/>
      <c r="O84" s="38" t="str">
        <f>"265,0"</f>
        <v>265,0</v>
      </c>
      <c r="P84" s="20" t="str">
        <f>"298,2061"</f>
        <v>298,2061</v>
      </c>
      <c r="Q84" s="18" t="s">
        <v>158</v>
      </c>
    </row>
    <row r="85" spans="1:17">
      <c r="B85" s="5" t="s">
        <v>40</v>
      </c>
    </row>
    <row r="86" spans="1:17" ht="15.95">
      <c r="A86" s="102" t="s">
        <v>724</v>
      </c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</row>
    <row r="87" spans="1:17">
      <c r="A87" s="13" t="s">
        <v>15</v>
      </c>
      <c r="B87" s="11" t="s">
        <v>734</v>
      </c>
      <c r="C87" s="11" t="s">
        <v>735</v>
      </c>
      <c r="D87" s="11" t="s">
        <v>736</v>
      </c>
      <c r="E87" s="11" t="str">
        <f>"0,6050"</f>
        <v>0,6050</v>
      </c>
      <c r="F87" s="11" t="s">
        <v>737</v>
      </c>
      <c r="G87" s="12" t="s">
        <v>347</v>
      </c>
      <c r="H87" s="12" t="s">
        <v>351</v>
      </c>
      <c r="I87" s="12" t="s">
        <v>398</v>
      </c>
      <c r="J87" s="13"/>
      <c r="K87" s="12" t="s">
        <v>490</v>
      </c>
      <c r="L87" s="12" t="s">
        <v>640</v>
      </c>
      <c r="M87" s="21" t="s">
        <v>738</v>
      </c>
      <c r="N87" s="13"/>
      <c r="O87" s="37" t="str">
        <f>"450,0"</f>
        <v>450,0</v>
      </c>
      <c r="P87" s="13" t="str">
        <f>"272,2500"</f>
        <v>272,2500</v>
      </c>
      <c r="Q87" s="11" t="s">
        <v>739</v>
      </c>
    </row>
    <row r="88" spans="1:17">
      <c r="A88" s="17" t="s">
        <v>62</v>
      </c>
      <c r="B88" s="14" t="s">
        <v>2167</v>
      </c>
      <c r="C88" s="14" t="s">
        <v>2168</v>
      </c>
      <c r="D88" s="14" t="s">
        <v>1847</v>
      </c>
      <c r="E88" s="14" t="str">
        <f>"0,5956"</f>
        <v>0,5956</v>
      </c>
      <c r="F88" s="14" t="s">
        <v>1646</v>
      </c>
      <c r="G88" s="15" t="s">
        <v>248</v>
      </c>
      <c r="H88" s="16" t="s">
        <v>351</v>
      </c>
      <c r="I88" s="15" t="s">
        <v>351</v>
      </c>
      <c r="J88" s="17"/>
      <c r="K88" s="15" t="s">
        <v>490</v>
      </c>
      <c r="L88" s="15" t="s">
        <v>523</v>
      </c>
      <c r="M88" s="15" t="s">
        <v>491</v>
      </c>
      <c r="N88" s="17"/>
      <c r="O88" s="40" t="str">
        <f>"440,0"</f>
        <v>440,0</v>
      </c>
      <c r="P88" s="17" t="str">
        <f>"262,0640"</f>
        <v>262,0640</v>
      </c>
      <c r="Q88" s="14" t="s">
        <v>2169</v>
      </c>
    </row>
    <row r="89" spans="1:17">
      <c r="A89" s="17" t="s">
        <v>73</v>
      </c>
      <c r="B89" s="14" t="s">
        <v>2170</v>
      </c>
      <c r="C89" s="14" t="s">
        <v>2171</v>
      </c>
      <c r="D89" s="14" t="s">
        <v>776</v>
      </c>
      <c r="E89" s="14" t="str">
        <f>"0,5910"</f>
        <v>0,5910</v>
      </c>
      <c r="F89" s="14" t="s">
        <v>2172</v>
      </c>
      <c r="G89" s="15" t="s">
        <v>347</v>
      </c>
      <c r="H89" s="16" t="s">
        <v>550</v>
      </c>
      <c r="I89" s="15" t="s">
        <v>550</v>
      </c>
      <c r="J89" s="17"/>
      <c r="K89" s="16" t="s">
        <v>374</v>
      </c>
      <c r="L89" s="15" t="s">
        <v>384</v>
      </c>
      <c r="M89" s="15" t="s">
        <v>442</v>
      </c>
      <c r="N89" s="17"/>
      <c r="O89" s="40" t="str">
        <f>"397,5"</f>
        <v>397,5</v>
      </c>
      <c r="P89" s="17" t="str">
        <f>"234,9225"</f>
        <v>234,9225</v>
      </c>
      <c r="Q89" s="14" t="s">
        <v>2173</v>
      </c>
    </row>
    <row r="90" spans="1:17">
      <c r="A90" s="17" t="s">
        <v>15</v>
      </c>
      <c r="B90" s="14" t="s">
        <v>777</v>
      </c>
      <c r="C90" s="14" t="s">
        <v>778</v>
      </c>
      <c r="D90" s="14" t="s">
        <v>779</v>
      </c>
      <c r="E90" s="14" t="str">
        <f>"0,5919"</f>
        <v>0,5919</v>
      </c>
      <c r="F90" s="14" t="s">
        <v>594</v>
      </c>
      <c r="G90" s="15" t="s">
        <v>69</v>
      </c>
      <c r="H90" s="15" t="s">
        <v>70</v>
      </c>
      <c r="I90" s="15" t="s">
        <v>85</v>
      </c>
      <c r="J90" s="17"/>
      <c r="K90" s="15" t="s">
        <v>70</v>
      </c>
      <c r="L90" s="15" t="s">
        <v>209</v>
      </c>
      <c r="M90" s="15" t="s">
        <v>60</v>
      </c>
      <c r="N90" s="17"/>
      <c r="O90" s="40" t="str">
        <f>"277,5"</f>
        <v>277,5</v>
      </c>
      <c r="P90" s="17" t="str">
        <f>"198,2525"</f>
        <v>198,2525</v>
      </c>
      <c r="Q90" s="14" t="s">
        <v>716</v>
      </c>
    </row>
    <row r="91" spans="1:17">
      <c r="A91" s="17" t="s">
        <v>15</v>
      </c>
      <c r="B91" s="14" t="s">
        <v>780</v>
      </c>
      <c r="C91" s="14" t="s">
        <v>781</v>
      </c>
      <c r="D91" s="14" t="s">
        <v>782</v>
      </c>
      <c r="E91" s="14" t="str">
        <f>"0,6019"</f>
        <v>0,6019</v>
      </c>
      <c r="F91" s="14" t="s">
        <v>594</v>
      </c>
      <c r="G91" s="15" t="s">
        <v>69</v>
      </c>
      <c r="H91" s="15" t="s">
        <v>70</v>
      </c>
      <c r="I91" s="15" t="s">
        <v>145</v>
      </c>
      <c r="J91" s="17"/>
      <c r="K91" s="15" t="s">
        <v>399</v>
      </c>
      <c r="L91" s="15" t="s">
        <v>420</v>
      </c>
      <c r="M91" s="16" t="s">
        <v>507</v>
      </c>
      <c r="N91" s="17"/>
      <c r="O91" s="40" t="str">
        <f>"345,0"</f>
        <v>345,0</v>
      </c>
      <c r="P91" s="17" t="str">
        <f>"286,5646"</f>
        <v>286,5646</v>
      </c>
      <c r="Q91" s="14" t="s">
        <v>597</v>
      </c>
    </row>
    <row r="92" spans="1:17">
      <c r="A92" s="17" t="s">
        <v>62</v>
      </c>
      <c r="B92" s="14" t="s">
        <v>2174</v>
      </c>
      <c r="C92" s="14" t="s">
        <v>2175</v>
      </c>
      <c r="D92" s="14" t="s">
        <v>2176</v>
      </c>
      <c r="E92" s="14" t="str">
        <f>"0,5996"</f>
        <v>0,5996</v>
      </c>
      <c r="F92" s="14" t="s">
        <v>2177</v>
      </c>
      <c r="G92" s="15" t="s">
        <v>46</v>
      </c>
      <c r="H92" s="15" t="s">
        <v>49</v>
      </c>
      <c r="I92" s="15" t="s">
        <v>47</v>
      </c>
      <c r="J92" s="17"/>
      <c r="K92" s="15" t="s">
        <v>427</v>
      </c>
      <c r="L92" s="15" t="s">
        <v>347</v>
      </c>
      <c r="M92" s="15" t="s">
        <v>550</v>
      </c>
      <c r="N92" s="17"/>
      <c r="O92" s="40" t="str">
        <f>"280,0"</f>
        <v>280,0</v>
      </c>
      <c r="P92" s="17" t="str">
        <f>"241,7587"</f>
        <v>241,7587</v>
      </c>
      <c r="Q92" s="14" t="s">
        <v>158</v>
      </c>
    </row>
    <row r="93" spans="1:17">
      <c r="A93" s="20" t="s">
        <v>73</v>
      </c>
      <c r="B93" s="18" t="s">
        <v>2178</v>
      </c>
      <c r="C93" s="18" t="s">
        <v>2179</v>
      </c>
      <c r="D93" s="18" t="s">
        <v>2180</v>
      </c>
      <c r="E93" s="18" t="str">
        <f>"0,6006"</f>
        <v>0,6006</v>
      </c>
      <c r="F93" s="18" t="s">
        <v>2181</v>
      </c>
      <c r="G93" s="19" t="s">
        <v>81</v>
      </c>
      <c r="H93" s="22" t="s">
        <v>67</v>
      </c>
      <c r="I93" s="22" t="s">
        <v>67</v>
      </c>
      <c r="J93" s="20"/>
      <c r="K93" s="22" t="s">
        <v>60</v>
      </c>
      <c r="L93" s="19" t="s">
        <v>60</v>
      </c>
      <c r="M93" s="19" t="s">
        <v>151</v>
      </c>
      <c r="N93" s="20"/>
      <c r="O93" s="38" t="str">
        <f>"240,0"</f>
        <v>240,0</v>
      </c>
      <c r="P93" s="20" t="str">
        <f>"230,1980"</f>
        <v>230,1980</v>
      </c>
      <c r="Q93" s="18" t="s">
        <v>158</v>
      </c>
    </row>
    <row r="94" spans="1:17">
      <c r="B94" s="5" t="s">
        <v>40</v>
      </c>
    </row>
    <row r="95" spans="1:17" ht="15.95">
      <c r="A95" s="102" t="s">
        <v>783</v>
      </c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</row>
    <row r="96" spans="1:17">
      <c r="A96" s="13" t="s">
        <v>15</v>
      </c>
      <c r="B96" s="11" t="s">
        <v>1547</v>
      </c>
      <c r="C96" s="11" t="s">
        <v>1548</v>
      </c>
      <c r="D96" s="11" t="s">
        <v>1549</v>
      </c>
      <c r="E96" s="11" t="str">
        <f>"0,5716"</f>
        <v>0,5716</v>
      </c>
      <c r="F96" s="11" t="s">
        <v>91</v>
      </c>
      <c r="G96" s="21" t="s">
        <v>38</v>
      </c>
      <c r="H96" s="12" t="s">
        <v>38</v>
      </c>
      <c r="I96" s="12" t="s">
        <v>47</v>
      </c>
      <c r="J96" s="13"/>
      <c r="K96" s="12" t="s">
        <v>392</v>
      </c>
      <c r="L96" s="12" t="s">
        <v>399</v>
      </c>
      <c r="M96" s="12" t="s">
        <v>436</v>
      </c>
      <c r="N96" s="21" t="s">
        <v>442</v>
      </c>
      <c r="O96" s="37" t="str">
        <f>"322,5"</f>
        <v>322,5</v>
      </c>
      <c r="P96" s="13" t="str">
        <f>"184,3410"</f>
        <v>184,3410</v>
      </c>
      <c r="Q96" s="11" t="s">
        <v>1550</v>
      </c>
    </row>
    <row r="97" spans="1:17">
      <c r="A97" s="17" t="s">
        <v>15</v>
      </c>
      <c r="B97" s="14" t="s">
        <v>2182</v>
      </c>
      <c r="C97" s="14" t="s">
        <v>2183</v>
      </c>
      <c r="D97" s="14" t="s">
        <v>2184</v>
      </c>
      <c r="E97" s="14" t="str">
        <f>"0,5722"</f>
        <v>0,5722</v>
      </c>
      <c r="F97" s="14" t="s">
        <v>758</v>
      </c>
      <c r="G97" s="15" t="s">
        <v>205</v>
      </c>
      <c r="H97" s="15" t="s">
        <v>427</v>
      </c>
      <c r="I97" s="16" t="s">
        <v>152</v>
      </c>
      <c r="J97" s="17"/>
      <c r="K97" s="15" t="s">
        <v>374</v>
      </c>
      <c r="L97" s="15" t="s">
        <v>420</v>
      </c>
      <c r="M97" s="15" t="s">
        <v>421</v>
      </c>
      <c r="N97" s="17"/>
      <c r="O97" s="40" t="str">
        <f>"392,5"</f>
        <v>392,5</v>
      </c>
      <c r="P97" s="17" t="str">
        <f>"224,5885"</f>
        <v>224,5885</v>
      </c>
      <c r="Q97" s="14" t="s">
        <v>158</v>
      </c>
    </row>
    <row r="98" spans="1:17">
      <c r="A98" s="17" t="s">
        <v>15</v>
      </c>
      <c r="B98" s="14" t="s">
        <v>784</v>
      </c>
      <c r="C98" s="14" t="s">
        <v>785</v>
      </c>
      <c r="D98" s="14" t="s">
        <v>786</v>
      </c>
      <c r="E98" s="14" t="str">
        <f>"0,5880"</f>
        <v>0,5880</v>
      </c>
      <c r="F98" s="14" t="s">
        <v>787</v>
      </c>
      <c r="G98" s="15" t="s">
        <v>71</v>
      </c>
      <c r="H98" s="15" t="s">
        <v>58</v>
      </c>
      <c r="I98" s="15" t="s">
        <v>60</v>
      </c>
      <c r="J98" s="17"/>
      <c r="K98" s="15" t="s">
        <v>422</v>
      </c>
      <c r="L98" s="15" t="s">
        <v>490</v>
      </c>
      <c r="M98" s="15" t="s">
        <v>523</v>
      </c>
      <c r="N98" s="17"/>
      <c r="O98" s="40" t="str">
        <f>"410,0"</f>
        <v>410,0</v>
      </c>
      <c r="P98" s="17" t="str">
        <f>"241,0800"</f>
        <v>241,0800</v>
      </c>
      <c r="Q98" s="14" t="s">
        <v>661</v>
      </c>
    </row>
    <row r="99" spans="1:17">
      <c r="A99" s="17" t="s">
        <v>62</v>
      </c>
      <c r="B99" s="14" t="s">
        <v>2185</v>
      </c>
      <c r="C99" s="14" t="s">
        <v>2186</v>
      </c>
      <c r="D99" s="14" t="s">
        <v>2187</v>
      </c>
      <c r="E99" s="14" t="str">
        <f>"0,5803"</f>
        <v>0,5803</v>
      </c>
      <c r="F99" s="14" t="s">
        <v>1300</v>
      </c>
      <c r="G99" s="15" t="s">
        <v>550</v>
      </c>
      <c r="H99" s="15" t="s">
        <v>452</v>
      </c>
      <c r="I99" s="16" t="s">
        <v>458</v>
      </c>
      <c r="J99" s="17"/>
      <c r="K99" s="15" t="s">
        <v>421</v>
      </c>
      <c r="L99" s="16" t="s">
        <v>490</v>
      </c>
      <c r="M99" s="16" t="s">
        <v>1175</v>
      </c>
      <c r="N99" s="17"/>
      <c r="O99" s="40" t="str">
        <f>"407,5"</f>
        <v>407,5</v>
      </c>
      <c r="P99" s="17" t="str">
        <f>"236,4722"</f>
        <v>236,4722</v>
      </c>
      <c r="Q99" s="14" t="s">
        <v>2188</v>
      </c>
    </row>
    <row r="100" spans="1:17">
      <c r="A100" s="17" t="s">
        <v>15</v>
      </c>
      <c r="B100" s="14" t="s">
        <v>2189</v>
      </c>
      <c r="C100" s="14" t="s">
        <v>2190</v>
      </c>
      <c r="D100" s="14" t="s">
        <v>2191</v>
      </c>
      <c r="E100" s="14" t="str">
        <f>"0,5705"</f>
        <v>0,5705</v>
      </c>
      <c r="F100" s="14" t="s">
        <v>644</v>
      </c>
      <c r="G100" s="15" t="s">
        <v>152</v>
      </c>
      <c r="H100" s="15" t="s">
        <v>550</v>
      </c>
      <c r="I100" s="15" t="s">
        <v>452</v>
      </c>
      <c r="J100" s="17"/>
      <c r="K100" s="15" t="s">
        <v>627</v>
      </c>
      <c r="L100" s="15" t="s">
        <v>523</v>
      </c>
      <c r="M100" s="15" t="s">
        <v>744</v>
      </c>
      <c r="N100" s="17"/>
      <c r="O100" s="40" t="str">
        <f>"450,0"</f>
        <v>450,0</v>
      </c>
      <c r="P100" s="17" t="str">
        <f>"260,3192"</f>
        <v>260,3192</v>
      </c>
      <c r="Q100" s="14" t="s">
        <v>646</v>
      </c>
    </row>
    <row r="101" spans="1:17">
      <c r="A101" s="20" t="s">
        <v>15</v>
      </c>
      <c r="B101" s="18" t="s">
        <v>2192</v>
      </c>
      <c r="C101" s="18" t="s">
        <v>2193</v>
      </c>
      <c r="D101" s="18" t="s">
        <v>2194</v>
      </c>
      <c r="E101" s="18" t="str">
        <f>"0,5795"</f>
        <v>0,5795</v>
      </c>
      <c r="F101" s="18" t="s">
        <v>1378</v>
      </c>
      <c r="G101" s="19" t="s">
        <v>58</v>
      </c>
      <c r="H101" s="19" t="s">
        <v>204</v>
      </c>
      <c r="I101" s="19" t="s">
        <v>60</v>
      </c>
      <c r="J101" s="20"/>
      <c r="K101" s="19" t="s">
        <v>384</v>
      </c>
      <c r="L101" s="19" t="s">
        <v>442</v>
      </c>
      <c r="M101" s="19" t="s">
        <v>459</v>
      </c>
      <c r="N101" s="20"/>
      <c r="O101" s="38" t="str">
        <f>"385,0"</f>
        <v>385,0</v>
      </c>
      <c r="P101" s="20" t="str">
        <f>"314,5816"</f>
        <v>314,5816</v>
      </c>
      <c r="Q101" s="18" t="s">
        <v>158</v>
      </c>
    </row>
    <row r="102" spans="1:17">
      <c r="B102" s="5" t="s">
        <v>40</v>
      </c>
    </row>
    <row r="103" spans="1:17" ht="15.95">
      <c r="A103" s="102" t="s">
        <v>794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</row>
    <row r="104" spans="1:17">
      <c r="A104" s="10" t="s">
        <v>15</v>
      </c>
      <c r="B104" s="7" t="s">
        <v>800</v>
      </c>
      <c r="C104" s="7" t="s">
        <v>801</v>
      </c>
      <c r="D104" s="7" t="s">
        <v>802</v>
      </c>
      <c r="E104" s="7" t="str">
        <f>"0,5662"</f>
        <v>0,5662</v>
      </c>
      <c r="F104" s="7" t="s">
        <v>690</v>
      </c>
      <c r="G104" s="8" t="s">
        <v>368</v>
      </c>
      <c r="H104" s="9" t="s">
        <v>506</v>
      </c>
      <c r="I104" s="9" t="s">
        <v>374</v>
      </c>
      <c r="J104" s="10"/>
      <c r="K104" s="8" t="s">
        <v>804</v>
      </c>
      <c r="L104" s="9" t="s">
        <v>805</v>
      </c>
      <c r="M104" s="8" t="s">
        <v>805</v>
      </c>
      <c r="N104" s="10"/>
      <c r="O104" s="41" t="str">
        <f>"507,5"</f>
        <v>507,5</v>
      </c>
      <c r="P104" s="10" t="str">
        <f>"287,3465"</f>
        <v>287,3465</v>
      </c>
      <c r="Q104" s="7" t="s">
        <v>158</v>
      </c>
    </row>
    <row r="105" spans="1:17">
      <c r="B105" s="5" t="s">
        <v>40</v>
      </c>
    </row>
    <row r="106" spans="1:17" ht="15.95">
      <c r="A106" s="102" t="s">
        <v>818</v>
      </c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</row>
    <row r="107" spans="1:17">
      <c r="A107" s="10" t="s">
        <v>15</v>
      </c>
      <c r="B107" s="7" t="s">
        <v>2195</v>
      </c>
      <c r="C107" s="7" t="s">
        <v>2196</v>
      </c>
      <c r="D107" s="7" t="s">
        <v>2197</v>
      </c>
      <c r="E107" s="7" t="str">
        <f>"0,5525"</f>
        <v>0,5525</v>
      </c>
      <c r="F107" s="7" t="s">
        <v>66</v>
      </c>
      <c r="G107" s="8" t="s">
        <v>383</v>
      </c>
      <c r="H107" s="9" t="s">
        <v>743</v>
      </c>
      <c r="I107" s="8" t="s">
        <v>743</v>
      </c>
      <c r="J107" s="10"/>
      <c r="K107" s="8" t="s">
        <v>421</v>
      </c>
      <c r="L107" s="8" t="s">
        <v>627</v>
      </c>
      <c r="M107" s="9" t="s">
        <v>529</v>
      </c>
      <c r="N107" s="10"/>
      <c r="O107" s="41" t="str">
        <f>"447,5"</f>
        <v>447,5</v>
      </c>
      <c r="P107" s="10" t="str">
        <f>"247,2438"</f>
        <v>247,2438</v>
      </c>
      <c r="Q107" s="7" t="s">
        <v>2198</v>
      </c>
    </row>
    <row r="108" spans="1:17">
      <c r="B108" s="5" t="s">
        <v>40</v>
      </c>
    </row>
    <row r="111" spans="1:17" ht="18">
      <c r="B111" s="23" t="s">
        <v>830</v>
      </c>
      <c r="C111" s="23"/>
    </row>
    <row r="112" spans="1:17" ht="15.95">
      <c r="B112" s="95" t="s">
        <v>831</v>
      </c>
      <c r="C112" s="95"/>
    </row>
    <row r="113" spans="2:6" ht="14.1">
      <c r="B113" s="24"/>
      <c r="C113" s="24" t="s">
        <v>832</v>
      </c>
    </row>
    <row r="114" spans="2:6" ht="14.1">
      <c r="B114" s="4" t="s">
        <v>833</v>
      </c>
      <c r="C114" s="4" t="s">
        <v>834</v>
      </c>
      <c r="D114" s="4" t="s">
        <v>835</v>
      </c>
      <c r="E114" s="4" t="s">
        <v>836</v>
      </c>
      <c r="F114" s="4" t="s">
        <v>837</v>
      </c>
    </row>
    <row r="115" spans="2:6">
      <c r="B115" s="5" t="s">
        <v>1369</v>
      </c>
      <c r="C115" s="5" t="s">
        <v>832</v>
      </c>
      <c r="D115" s="6" t="s">
        <v>1563</v>
      </c>
      <c r="E115" s="6" t="s">
        <v>455</v>
      </c>
      <c r="F115" s="6" t="s">
        <v>2199</v>
      </c>
    </row>
    <row r="116" spans="2:6">
      <c r="B116" s="5" t="s">
        <v>2074</v>
      </c>
      <c r="C116" s="5" t="s">
        <v>832</v>
      </c>
      <c r="D116" s="6" t="s">
        <v>1563</v>
      </c>
      <c r="E116" s="6" t="s">
        <v>506</v>
      </c>
      <c r="F116" s="6" t="s">
        <v>2200</v>
      </c>
    </row>
    <row r="117" spans="2:6">
      <c r="B117" s="5" t="s">
        <v>233</v>
      </c>
      <c r="C117" s="5" t="s">
        <v>832</v>
      </c>
      <c r="D117" s="6" t="s">
        <v>850</v>
      </c>
      <c r="E117" s="6" t="s">
        <v>420</v>
      </c>
      <c r="F117" s="6" t="s">
        <v>2201</v>
      </c>
    </row>
    <row r="119" spans="2:6" ht="15.95">
      <c r="B119" s="95" t="s">
        <v>855</v>
      </c>
      <c r="C119" s="95"/>
    </row>
    <row r="120" spans="2:6" ht="14.1">
      <c r="B120" s="24"/>
      <c r="C120" s="24" t="s">
        <v>856</v>
      </c>
    </row>
    <row r="121" spans="2:6" ht="14.1">
      <c r="B121" s="4" t="s">
        <v>833</v>
      </c>
      <c r="C121" s="4" t="s">
        <v>834</v>
      </c>
      <c r="D121" s="4" t="s">
        <v>835</v>
      </c>
      <c r="E121" s="4" t="s">
        <v>836</v>
      </c>
      <c r="F121" s="4" t="s">
        <v>837</v>
      </c>
    </row>
    <row r="122" spans="2:6">
      <c r="B122" s="5" t="s">
        <v>400</v>
      </c>
      <c r="C122" s="5" t="s">
        <v>857</v>
      </c>
      <c r="D122" s="6" t="s">
        <v>861</v>
      </c>
      <c r="E122" s="6" t="s">
        <v>823</v>
      </c>
      <c r="F122" s="6" t="s">
        <v>2202</v>
      </c>
    </row>
    <row r="123" spans="2:6">
      <c r="B123" s="5" t="s">
        <v>2084</v>
      </c>
      <c r="C123" s="5" t="s">
        <v>857</v>
      </c>
      <c r="D123" s="6" t="s">
        <v>850</v>
      </c>
      <c r="E123" s="6" t="s">
        <v>627</v>
      </c>
      <c r="F123" s="6" t="s">
        <v>2203</v>
      </c>
    </row>
    <row r="124" spans="2:6">
      <c r="B124" s="5" t="s">
        <v>369</v>
      </c>
      <c r="C124" s="5" t="s">
        <v>857</v>
      </c>
      <c r="D124" s="6" t="s">
        <v>844</v>
      </c>
      <c r="E124" s="6" t="s">
        <v>754</v>
      </c>
      <c r="F124" s="6" t="s">
        <v>2204</v>
      </c>
    </row>
    <row r="126" spans="2:6" ht="14.1">
      <c r="B126" s="24"/>
      <c r="C126" s="24" t="s">
        <v>832</v>
      </c>
    </row>
    <row r="127" spans="2:6" ht="14.1">
      <c r="B127" s="4" t="s">
        <v>833</v>
      </c>
      <c r="C127" s="4" t="s">
        <v>834</v>
      </c>
      <c r="D127" s="4" t="s">
        <v>835</v>
      </c>
      <c r="E127" s="4" t="s">
        <v>836</v>
      </c>
      <c r="F127" s="4" t="s">
        <v>837</v>
      </c>
    </row>
    <row r="128" spans="2:6">
      <c r="B128" s="5" t="s">
        <v>1519</v>
      </c>
      <c r="C128" s="5" t="s">
        <v>832</v>
      </c>
      <c r="D128" s="6" t="s">
        <v>888</v>
      </c>
      <c r="E128" s="6" t="s">
        <v>2014</v>
      </c>
      <c r="F128" s="6" t="s">
        <v>2205</v>
      </c>
    </row>
    <row r="129" spans="2:6">
      <c r="B129" s="5" t="s">
        <v>2144</v>
      </c>
      <c r="C129" s="5" t="s">
        <v>832</v>
      </c>
      <c r="D129" s="6" t="s">
        <v>888</v>
      </c>
      <c r="E129" s="6" t="s">
        <v>2206</v>
      </c>
      <c r="F129" s="6" t="s">
        <v>2207</v>
      </c>
    </row>
    <row r="130" spans="2:6">
      <c r="B130" s="5" t="s">
        <v>800</v>
      </c>
      <c r="C130" s="5" t="s">
        <v>832</v>
      </c>
      <c r="D130" s="6" t="s">
        <v>875</v>
      </c>
      <c r="E130" s="6" t="s">
        <v>2208</v>
      </c>
      <c r="F130" s="6" t="s">
        <v>2209</v>
      </c>
    </row>
    <row r="132" spans="2:6" ht="14.1">
      <c r="B132" s="24"/>
      <c r="C132" s="24" t="s">
        <v>847</v>
      </c>
    </row>
    <row r="133" spans="2:6" ht="14.1">
      <c r="B133" s="4" t="s">
        <v>833</v>
      </c>
      <c r="C133" s="4" t="s">
        <v>834</v>
      </c>
      <c r="D133" s="4" t="s">
        <v>835</v>
      </c>
      <c r="E133" s="4" t="s">
        <v>836</v>
      </c>
      <c r="F133" s="4" t="s">
        <v>837</v>
      </c>
    </row>
    <row r="134" spans="2:6">
      <c r="B134" s="5" t="s">
        <v>2192</v>
      </c>
      <c r="C134" s="5" t="s">
        <v>887</v>
      </c>
      <c r="D134" s="6" t="s">
        <v>1356</v>
      </c>
      <c r="E134" s="6" t="s">
        <v>2210</v>
      </c>
      <c r="F134" s="6" t="s">
        <v>2211</v>
      </c>
    </row>
    <row r="135" spans="2:6">
      <c r="B135" s="5" t="s">
        <v>2164</v>
      </c>
      <c r="C135" s="5" t="s">
        <v>881</v>
      </c>
      <c r="D135" s="6" t="s">
        <v>888</v>
      </c>
      <c r="E135" s="6" t="s">
        <v>491</v>
      </c>
      <c r="F135" s="6" t="s">
        <v>2212</v>
      </c>
    </row>
    <row r="136" spans="2:6">
      <c r="B136" s="5" t="s">
        <v>2159</v>
      </c>
      <c r="C136" s="5" t="s">
        <v>884</v>
      </c>
      <c r="D136" s="6" t="s">
        <v>888</v>
      </c>
      <c r="E136" s="6" t="s">
        <v>1345</v>
      </c>
      <c r="F136" s="6" t="s">
        <v>2213</v>
      </c>
    </row>
    <row r="137" spans="2:6">
      <c r="B137" s="5" t="s">
        <v>40</v>
      </c>
    </row>
  </sheetData>
  <mergeCells count="27">
    <mergeCell ref="A106:P106"/>
    <mergeCell ref="A19:P19"/>
    <mergeCell ref="A23:P23"/>
    <mergeCell ref="A27:P27"/>
    <mergeCell ref="A30:P30"/>
    <mergeCell ref="A36:P36"/>
    <mergeCell ref="A45:P45"/>
    <mergeCell ref="A57:P57"/>
    <mergeCell ref="A71:P71"/>
    <mergeCell ref="A86:P86"/>
    <mergeCell ref="A95:P95"/>
    <mergeCell ref="A103:P103"/>
    <mergeCell ref="A14:P14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  <mergeCell ref="A5:P5"/>
    <mergeCell ref="A10:P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Russia Powerlifting</cp:lastModifiedBy>
  <cp:revision/>
  <dcterms:created xsi:type="dcterms:W3CDTF">2002-06-16T13:36:44Z</dcterms:created>
  <dcterms:modified xsi:type="dcterms:W3CDTF">2020-01-02T22:28:42Z</dcterms:modified>
  <cp:category/>
  <cp:contentStatus/>
</cp:coreProperties>
</file>